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9"/>
  </bookViews>
  <sheets>
    <sheet name="附件一2023年调整" sheetId="36" r:id="rId1"/>
    <sheet name="附件二2023年财力性调整" sheetId="53" r:id="rId2"/>
    <sheet name="附件三2023年区级一般公共预算支出调整" sheetId="61" r:id="rId3"/>
    <sheet name="附件四2023新增上解支出调整 " sheetId="66" r:id="rId4"/>
    <sheet name="附件五2023年区级政府性基金支出调整" sheetId="65" r:id="rId5"/>
    <sheet name="附件六2023年地方政府新增债券资金安排使用方案" sheetId="64" r:id="rId6"/>
  </sheets>
  <definedNames>
    <definedName name="_xlnm._FilterDatabase" localSheetId="1" hidden="1">附件二2023年财力性调整!$A$6:$C$12</definedName>
    <definedName name="_xlnm._FilterDatabase" localSheetId="3" hidden="1">'附件四2023新增上解支出调整 '!$A$5:$C$12</definedName>
    <definedName name="_xlnm.Print_Area" localSheetId="2">附件三2023年区级一般公共预算支出调整!$A$1:$C$91</definedName>
    <definedName name="_xlnm.Print_Area" localSheetId="3">'附件四2023新增上解支出调整 '!$A$1:$C$12</definedName>
    <definedName name="_xlnm.Print_Area" localSheetId="4">附件五2023年区级政府性基金支出调整!$A$1:$C$25</definedName>
    <definedName name="_xlnm.Print_Area" localSheetId="0">附件一2023年调整!$A$1:$J$82</definedName>
    <definedName name="_xlnm.Print_Titles" localSheetId="1">附件二2023年财力性调整!$1:$5</definedName>
    <definedName name="_xlnm.Print_Titles" localSheetId="5">附件六2023年地方政府新增债券资金安排使用方案!$1:$6</definedName>
    <definedName name="_xlnm.Print_Titles" localSheetId="2">附件三2023年区级一般公共预算支出调整!$1:$4</definedName>
    <definedName name="_xlnm.Print_Titles" localSheetId="3">'附件四2023新增上解支出调整 '!$1:$5</definedName>
    <definedName name="_xlnm.Print_Titles" localSheetId="4">附件五2023年区级政府性基金支出调整!$1:$4</definedName>
    <definedName name="_xlnm.Print_Titles" localSheetId="0">附件一2023年调整!$1:$6</definedName>
  </definedNames>
  <calcPr calcId="144525" fullPrecision="0"/>
</workbook>
</file>

<file path=xl/sharedStrings.xml><?xml version="1.0" encoding="utf-8"?>
<sst xmlns="http://schemas.openxmlformats.org/spreadsheetml/2006/main" count="354" uniqueCount="322">
  <si>
    <t>附件1：</t>
  </si>
  <si>
    <t>2023年鼎城区财政预算收支调整安排总表</t>
  </si>
  <si>
    <t>编制：区财政局预算股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</si>
  <si>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</si>
  <si>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       </t>
    </r>
    <r>
      <rPr>
        <b/>
        <sz val="12"/>
        <rFont val="宋体"/>
        <charset val="134"/>
      </rPr>
      <t>目</t>
    </r>
  </si>
  <si>
    <t>2023年
年  初
预算数</t>
  </si>
  <si>
    <t>1-9月累计完成</t>
  </si>
  <si>
    <t>增减
金额</t>
  </si>
  <si>
    <t>2023年
调  整
预算数</t>
  </si>
  <si>
    <t>2022年
完成数</t>
  </si>
  <si>
    <t>2023年调整预算数与
2022年完成数比较</t>
  </si>
  <si>
    <t>调 整 预 算 情 况 说 明</t>
  </si>
  <si>
    <t>完成数</t>
  </si>
  <si>
    <r>
      <rPr>
        <b/>
        <sz val="11"/>
        <rFont val="宋体"/>
        <charset val="134"/>
      </rPr>
      <t xml:space="preserve">占预算
</t>
    </r>
    <r>
      <rPr>
        <b/>
        <sz val="10"/>
        <rFont val="宋体"/>
        <charset val="134"/>
      </rPr>
      <t>（</t>
    </r>
    <r>
      <rPr>
        <b/>
        <sz val="10"/>
        <rFont val="Times New Roman"/>
        <charset val="134"/>
      </rPr>
      <t>%</t>
    </r>
    <r>
      <rPr>
        <b/>
        <sz val="10"/>
        <rFont val="宋体"/>
        <charset val="134"/>
      </rPr>
      <t>）</t>
    </r>
  </si>
  <si>
    <t>+、-额</t>
  </si>
  <si>
    <t>+、-%</t>
  </si>
  <si>
    <t>地方一般公共预算收入合计</t>
  </si>
  <si>
    <t>地方一般公共预算收入由年初预算217153万元调整为232832万元，增加15679万元，增长7.22%，比上年增加31764万元，增长15.8%。</t>
  </si>
  <si>
    <t>一、税收收入</t>
  </si>
  <si>
    <t>税收收入由年初预算145527万元调整为86322万元，减少59205万元，下降40.68%（区本级由年初预算89226万元调整为46322万元、高新区由年初预算56301万元调整为40000万元），比上年减少48426万元，下降35.94%。</t>
  </si>
  <si>
    <t xml:space="preserve">    税务局</t>
  </si>
  <si>
    <t xml:space="preserve">    1、增值税</t>
  </si>
  <si>
    <t xml:space="preserve">    2、企业所得税</t>
  </si>
  <si>
    <t xml:space="preserve">    3、个人所得税</t>
  </si>
  <si>
    <t xml:space="preserve">    4、契税和耕地占用税</t>
  </si>
  <si>
    <t xml:space="preserve">    5、土地增值税</t>
  </si>
  <si>
    <t xml:space="preserve">    6、其他工商税收</t>
  </si>
  <si>
    <t>二、非税收入</t>
  </si>
  <si>
    <t xml:space="preserve">  1、专项收入</t>
  </si>
  <si>
    <t xml:space="preserve">  （1）（税务局）教育费附加
      及地方教育附加收入</t>
  </si>
  <si>
    <t xml:space="preserve">  （2）其他专项收入</t>
  </si>
  <si>
    <t xml:space="preserve">  2、行政事业性收费收入</t>
  </si>
  <si>
    <t xml:space="preserve">  3、罚没收入</t>
  </si>
  <si>
    <t xml:space="preserve">  4、国有资本经营收入</t>
  </si>
  <si>
    <t xml:space="preserve">  5、国有资源（资产）有偿
     使用收入</t>
  </si>
  <si>
    <t>新增城市停车位特许经营权34598万元、新增花岩溪景区特许经营权29100万元、新增其他资产处置6796万元。</t>
  </si>
  <si>
    <t xml:space="preserve">  6、其他收入</t>
  </si>
  <si>
    <t>加：财力性转移支付补助收入</t>
  </si>
  <si>
    <t>见附件2</t>
  </si>
  <si>
    <t>加：专项转移支付补助收入</t>
  </si>
  <si>
    <t>1-9月实际收到137114万元+后段预计15143万元=152257万元，调减2743万元（在上年实际到位数上预增25000万元，城乡居民医保调减27743万元）。</t>
  </si>
  <si>
    <t>加：上级专项补助收入</t>
  </si>
  <si>
    <t>1-9月实际收到48514万元+后段预计36486万元=85000万元，调减15000万元（在上年实际到位数上预减15000万元）。</t>
  </si>
  <si>
    <t>加：地方政府新增一般债券
    收入</t>
  </si>
  <si>
    <t>下达新增一般债券17549万元。</t>
  </si>
  <si>
    <t>加：清理整合历年结转结余等</t>
  </si>
  <si>
    <t>加：调入预算稳定调节基金</t>
  </si>
  <si>
    <r>
      <rPr>
        <b/>
        <sz val="11"/>
        <rFont val="宋体"/>
        <charset val="134"/>
      </rPr>
      <t>加：调入资金</t>
    </r>
    <r>
      <rPr>
        <b/>
        <sz val="6"/>
        <rFont val="宋体"/>
        <charset val="134"/>
      </rPr>
      <t>（从基金、国资预算调入）</t>
    </r>
  </si>
  <si>
    <t>同政府性基金预算中的“调出资金”+国有资本经营预算中的“调出资金”。</t>
  </si>
  <si>
    <t>加：从其他资金调入</t>
  </si>
  <si>
    <t>财政专户调入。</t>
  </si>
  <si>
    <t>加：上年结转收入</t>
  </si>
  <si>
    <t>一般公共预算收入总计</t>
  </si>
  <si>
    <t>减：上解支出</t>
  </si>
  <si>
    <t>见附件4</t>
  </si>
  <si>
    <t>减：一般公共预算支出</t>
  </si>
  <si>
    <t xml:space="preserve">  1、地方可用财力安排支出
    （包干支出）</t>
  </si>
  <si>
    <t>见附件3</t>
  </si>
  <si>
    <t xml:space="preserve">   （1）包干到单位</t>
  </si>
  <si>
    <t xml:space="preserve">   （2）预留经费</t>
  </si>
  <si>
    <t xml:space="preserve">      预留区级专项</t>
  </si>
  <si>
    <t>预留区级专项调减7596万元、用新增一般债券置换预留一般专项调减7206万元。</t>
  </si>
  <si>
    <t xml:space="preserve">      预备费、年初特别解决及
      春节退役人员解困资金</t>
  </si>
  <si>
    <t>1-9月已支出25833元+后段预计支出33588万元（共48931万元-机关社保兜底1000万元-非税收入拨款4000万-从新增债中列支10343万元）+资产处置收益中对应列支6986万元=合计调增66407万元（25833+33588+6986）。</t>
  </si>
  <si>
    <t xml:space="preserve">      基本工资</t>
  </si>
  <si>
    <t xml:space="preserve">      奖励工资</t>
  </si>
  <si>
    <t xml:space="preserve">      在职、离退休人员基础绩效奖
      （2022年7月-2023年）</t>
  </si>
  <si>
    <t xml:space="preserve">      在职年度考核奖及离退休人员
      保留补贴</t>
  </si>
  <si>
    <t xml:space="preserve">      其他特殊人群绩效奖金</t>
  </si>
  <si>
    <t xml:space="preserve">      增人微调及福利费</t>
  </si>
  <si>
    <r>
      <rPr>
        <sz val="11"/>
        <rFont val="宋体"/>
        <charset val="134"/>
      </rPr>
      <t xml:space="preserve">      离退休费兜底</t>
    </r>
    <r>
      <rPr>
        <sz val="6"/>
        <rFont val="宋体"/>
        <charset val="134"/>
      </rPr>
      <t>（原生活性补贴）</t>
    </r>
  </si>
  <si>
    <t xml:space="preserve">      征收经费</t>
  </si>
  <si>
    <t xml:space="preserve">      其他预留</t>
  </si>
  <si>
    <t xml:space="preserve">      非税拨款</t>
  </si>
  <si>
    <t xml:space="preserve">  2、地方政府新增一般债券
     列支</t>
  </si>
  <si>
    <t>下达新增一般债券17549万元（见附件6）。</t>
  </si>
  <si>
    <t xml:space="preserve">  3、专项转移支付补助列支</t>
  </si>
  <si>
    <t xml:space="preserve">  4、上级专项补助列支</t>
  </si>
  <si>
    <t>减：结转下年支出</t>
  </si>
  <si>
    <t>一般公共预算收支平衡</t>
  </si>
  <si>
    <t>政府性基金预算收入</t>
  </si>
  <si>
    <t>政府性基金预算收入由年初预算113500万元调整为116780万元，增加3280万元，比上年增加26223万元，增长28.96%。</t>
  </si>
  <si>
    <t xml:space="preserve">  1、国土出让收入</t>
  </si>
  <si>
    <t xml:space="preserve">  2、其他国土出让收入</t>
  </si>
  <si>
    <t>新增以前年度土地欠款缴入17501万元、新增其他划拨用地缴入30276万元。</t>
  </si>
  <si>
    <t xml:space="preserve">  3、其他政府性基金非税收入</t>
  </si>
  <si>
    <t>基金非税收入由年初预算3500万元调整为5010万元，增加1510万元。</t>
  </si>
  <si>
    <t>1-9月实际收到4486万元+后段预计1014万元=5500万元（按上年实际到位数预计）。</t>
  </si>
  <si>
    <t>加：新增专项债券收入</t>
  </si>
  <si>
    <t>鼎城区应急医疗救治中心建设项目40000万元+鼎城区健康养老服务（一期）提升工程12000万元+常德市江南污水处理厂扩建（三期）及配套管网建设项目1500万元+常德高新区新材料产业园建设项目7000万元+常德高新区智慧停车场建设项目9200万元+常德高新区创新创业园标准化厂房及配套设施建设项目34800万元+江南片区改造项目二期湘运地块项目47500万元。</t>
  </si>
  <si>
    <t>政府性基金预算收入总计</t>
  </si>
  <si>
    <t>减：基金上解支出</t>
  </si>
  <si>
    <t>减：基金支出</t>
  </si>
  <si>
    <t xml:space="preserve">    1、基金区级专项支出</t>
  </si>
  <si>
    <t>年初安排36787万元+后段预计新增7177万元-预留区级专项调减9000万元。</t>
  </si>
  <si>
    <t xml:space="preserve">    2、基金追加</t>
  </si>
  <si>
    <t xml:space="preserve">    3、基金非税收入拨款</t>
  </si>
  <si>
    <t>基金非税收入拨款按年初预算2500万元不作调整。</t>
  </si>
  <si>
    <t xml:space="preserve">    4、基金列收列支土地成本</t>
  </si>
  <si>
    <t>减：上级专项补助列支</t>
  </si>
  <si>
    <t>减：新增专项债券列支</t>
  </si>
  <si>
    <r>
      <rPr>
        <b/>
        <sz val="11"/>
        <rFont val="宋体"/>
        <charset val="134"/>
      </rPr>
      <t>减：调出资金</t>
    </r>
    <r>
      <rPr>
        <b/>
        <sz val="8"/>
        <rFont val="宋体"/>
        <charset val="134"/>
      </rPr>
      <t>（调出到一般预算）</t>
    </r>
  </si>
  <si>
    <t>国土出让收入增加1770万元+基金非税收入增加1510万元+基金区级专项调减9000万元-7177万元（后段预计新增支出）+20000万元（土地成本列支减少20000万元）=合计增加财力25103万元。故调出资金增加25103万元。调出的原因是没有合适的建设性支出项目在此予以安排,且一般公共预算财力又不足，故将结余资金调入到一般公共预算统筹安排。</t>
  </si>
  <si>
    <t>政府性基金预算收支平衡</t>
  </si>
  <si>
    <t>国有资本经营预算收入</t>
  </si>
  <si>
    <t>国有资本经营预算收入按1275万元预计，比年初预算增加992万元，增长350.53%，比上年增加306万元，增长31.58%。</t>
  </si>
  <si>
    <t xml:space="preserve">  1、利润收入</t>
  </si>
  <si>
    <t>江南新城公司年初预算安排82万元+阳明湖公司年初预算安排21万元=103万元。新增江南新城公司198万、阳明湖公司149万元、农发公司170万元、鼎力公司180万元、自来水公司5万元。</t>
  </si>
  <si>
    <t xml:space="preserve">  2、股利股息收入</t>
  </si>
  <si>
    <t>兴隆公司：年初预算安排180万元，新增290万元。</t>
  </si>
  <si>
    <t xml:space="preserve">  3、其他国资经营收入</t>
  </si>
  <si>
    <t>减：国有资本经营预算支出</t>
  </si>
  <si>
    <t>国有资本经营预算收支平衡</t>
  </si>
  <si>
    <t>附件2：</t>
  </si>
  <si>
    <t>2023年财力性转移支付补助收入调整明细表</t>
  </si>
  <si>
    <t>编制:区财政局预算股</t>
  </si>
  <si>
    <t>单位:万元</t>
  </si>
  <si>
    <t>项     目</t>
  </si>
  <si>
    <t>说    明</t>
  </si>
  <si>
    <t>合     计</t>
  </si>
  <si>
    <t>疫情防控补助</t>
  </si>
  <si>
    <t>资源枯竭城市补助</t>
  </si>
  <si>
    <t>均衡性转移支付补助</t>
  </si>
  <si>
    <t>县级基本财力保障补助</t>
  </si>
  <si>
    <t>留抵退税及减税补助</t>
  </si>
  <si>
    <t>农业转移人口市民化补助</t>
  </si>
  <si>
    <t>2022年结转棉花大县补助</t>
  </si>
  <si>
    <t>工商停征两费补助</t>
  </si>
  <si>
    <t>江北城区税收补助</t>
  </si>
  <si>
    <t>附件3：</t>
  </si>
  <si>
    <t>2023年区级一般公共预算支出调整明细表</t>
  </si>
  <si>
    <t xml:space="preserve">编制:区财政局预算股                                                                   </t>
  </si>
  <si>
    <t xml:space="preserve">                                     单位:万元</t>
  </si>
  <si>
    <t>项    目</t>
  </si>
  <si>
    <t>备      注</t>
  </si>
  <si>
    <t>合    计</t>
  </si>
  <si>
    <t>地方可用财力安排支出净增54805+债券17549=72354</t>
  </si>
  <si>
    <t>一、调增项目</t>
  </si>
  <si>
    <t>地方可用财力安排71407+债券17549=88956</t>
  </si>
  <si>
    <t>（一）1-9月已列支出</t>
  </si>
  <si>
    <t>29533-3700</t>
  </si>
  <si>
    <t>（区国有资产经营管理中心）（江南新城）政府支出责任</t>
  </si>
  <si>
    <t>（区住房和城乡建设局）阳明湖市政PPP项目江南大道、永富路、德安路等子项目可行性缺口补贴</t>
  </si>
  <si>
    <t>（区卫生健康局）（市四医院）四医院交通银行贷款本金</t>
  </si>
  <si>
    <t>（各单位）新冠疫情防控经费</t>
  </si>
  <si>
    <t>（区卫生健康局）基层卫生单位解困资金</t>
  </si>
  <si>
    <t>（区国有资产经营管理中心）（阳明湖公司）政府支出责任</t>
  </si>
  <si>
    <t>（区水利局）阳明湖水系综合治理工程(一期）PPP项目红云泵站、永兴河、杨家港、大湖博览区等子项目可行性缺口补助</t>
  </si>
  <si>
    <t>（区社会保险服务中心）2023年6-9月财政供养人员职业年金记实资金</t>
  </si>
  <si>
    <t>（区住房保障服务中心）2023年度第一、二、三批次新购商品房契税、人才购房补贴</t>
  </si>
  <si>
    <t>（区住房和城乡建设局）（阳明湖公司）常德市江南城区临时集中隔离点项目资金</t>
  </si>
  <si>
    <t>（各单位）2023年度职工医疗保险缴费费率提高为8%调整预算</t>
  </si>
  <si>
    <t>（区民政局）乐尊国际康养项目财政补贴</t>
  </si>
  <si>
    <t>（区人民法院）“两庭建设”资金</t>
  </si>
  <si>
    <t>（区国有资产经营管理中心）（区农发公司）枉水河道采砂成本</t>
  </si>
  <si>
    <t>（区住房保障服务中心）工作经费</t>
  </si>
  <si>
    <t>（区民政局）区社会福利中心建设工程款</t>
  </si>
  <si>
    <t>（区医疗保障局）办公场所维修及信息建设</t>
  </si>
  <si>
    <t>（区水利局）预拨抗旱应急资金</t>
  </si>
  <si>
    <t>（区住房和城乡建设局)自建房安全整治工作经费</t>
  </si>
  <si>
    <t>（区住房和城乡建设局)鼎城区人防指挥中心相关建设费用（共253.17万）</t>
  </si>
  <si>
    <t>（区档案馆）区“三馆一中心”项目建设资金（共200万元）</t>
  </si>
  <si>
    <t>（各单位）2023年“八一”慰问解困资金（共275万元）</t>
  </si>
  <si>
    <t>（区工业和信息化局)区属国有企业2023年退休人员参加医保经费</t>
  </si>
  <si>
    <t>（各乡镇）“非农化”“非粮化”图斑整治工作经费</t>
  </si>
  <si>
    <t>（区国有资产经营管理中心）（区农发公司）原园艺场遗留问题经费</t>
  </si>
  <si>
    <t>（斗姆湖街道办事处）街道小街小巷建设资金</t>
  </si>
  <si>
    <t>（区发展和改革局）2022年度项目策划包装工作经费</t>
  </si>
  <si>
    <t>（各乡镇、街道）乡镇垃圾中转站建设资金</t>
  </si>
  <si>
    <t>（区应急管理局）落实省森防指强化区乡级应急救援队伍装备和物资配备采购资金（共77万元）</t>
  </si>
  <si>
    <t>（二）后段预计支出</t>
  </si>
  <si>
    <t>以下项目共安排48931万元，抵减从新增一般债中安排10343万元，一般公共预算中安排38588万元。</t>
  </si>
  <si>
    <t>（水利局）小水库除险加固</t>
  </si>
  <si>
    <t>新增一般债券中列支</t>
  </si>
  <si>
    <t>教育、公安等非税收入拨款</t>
  </si>
  <si>
    <t>非税收入拨款</t>
  </si>
  <si>
    <t>（住保中心）新购商品房契税财政补贴</t>
  </si>
  <si>
    <t>（卫健局）年底基层卫生单位解困资金</t>
  </si>
  <si>
    <t>（法院）“两庭建设”资金</t>
  </si>
  <si>
    <t>（医保局）城乡居民医保新增区级配套资金</t>
  </si>
  <si>
    <t>区级配套比例由8%提高到12%</t>
  </si>
  <si>
    <t>（各单位）疫情防控</t>
  </si>
  <si>
    <t>（教育局）义务教育学校建设</t>
  </si>
  <si>
    <t>（社会保险服务中心）10-12月职业年金记实</t>
  </si>
  <si>
    <t>（社会保险服务中心）机关社保兜底缺口</t>
  </si>
  <si>
    <t>（卫健局）新冠感染重症救治和转运能力提升</t>
  </si>
  <si>
    <t>（退役军人事务局）优抚区级配套资金</t>
  </si>
  <si>
    <t>（社会保险服务中心）按审计整改要求归还企业社保基金</t>
  </si>
  <si>
    <t>（民政局）农村低保缺口</t>
  </si>
  <si>
    <t>（医保局）医疗救助</t>
  </si>
  <si>
    <t>一般债券利息</t>
  </si>
  <si>
    <t>（卫健局）基本公卫服务新增区级配套资金</t>
  </si>
  <si>
    <t>（市公交公司）2021年公交运营亏损结算补差</t>
  </si>
  <si>
    <t>（卫健局）城镇独生子女父母奖励</t>
  </si>
  <si>
    <t>（医保局）各乡镇筹资工作奖励经费</t>
  </si>
  <si>
    <t>（市公交公司）2022年公交运营亏损结算补差</t>
  </si>
  <si>
    <t>（教育局）江南中学教学楼新建</t>
  </si>
  <si>
    <t>（宣传部）理论书籍征订经费</t>
  </si>
  <si>
    <t>（一中）红云学校建设资金</t>
  </si>
  <si>
    <t>（卫健局）农村计划生育奖扶新增区级配套资金</t>
  </si>
  <si>
    <t>（环卫处）2023年乡镇垃圾中转站压缩箱日常维护</t>
  </si>
  <si>
    <t>（交通局）国省干线、农村公路</t>
  </si>
  <si>
    <t>（市场监督管理局）食品安全城市创建经费</t>
  </si>
  <si>
    <t>（商务局）原政府招待所和外贸公司置换人员相关经费</t>
  </si>
  <si>
    <t>区政府2016年第89次会议纪要</t>
  </si>
  <si>
    <t>（教育局）丰彩小学建设前期费用</t>
  </si>
  <si>
    <t>（环卫处）乡镇垃圾中转站启用维修</t>
  </si>
  <si>
    <t>（住建局）滨江明珠亮化工程</t>
  </si>
  <si>
    <t>（住建局）319国道改造（善池路-建新路）</t>
  </si>
  <si>
    <t>（医保局）粮食系统改制人员医保金</t>
  </si>
  <si>
    <t>（公路养护中心）省道安防精细化提升工程</t>
  </si>
  <si>
    <t>（科技局）科技型企业知识价值信用贷风险池资金</t>
  </si>
  <si>
    <t>（卫健局）病媒生物防治</t>
  </si>
  <si>
    <t>（各单位）上年未实现收入用结余结转资金填补的资金</t>
  </si>
  <si>
    <t>后段其他不可预计支出</t>
  </si>
  <si>
    <t>从新增债中预安排</t>
  </si>
  <si>
    <t>见“（附件6）地方政府新增债券列支”</t>
  </si>
  <si>
    <t>（三）资产处置收益中对应列支</t>
  </si>
  <si>
    <t xml:space="preserve">    一、已列支6486万元：
    1、（牛鼻滩镇人民政府）旱改水项目整改工作经费100万元；
    2、（各单位）电商产业园、包装招商项目、农贸市场整治工作经费200万元；
    3、（区殡仪馆）2023年1-12月区殡仪馆人员相关待遇69.6742万元；
    4、（区民主阳城垸水利管理委员会）（区砂管办）工作经费50万元；                                                                                                                                                                                            
    5、（区应急管理局）中央自然灾害救灾资金5.86万元；
    6、（区民主阳城垸水利管理委员会）民主阳城垸公租房建设工程费用220万元；
    7、（区自然资源事务中心）（鼎城区公寓楼安置工作领导小组办公室）阳明湖畔房款和车位款460万元；
    8、（区国有资产经营管理中心）（江南新城）政府支出责任4000万元；                                                                                                                                                                                             
    9、（区国有资产经营管理中心）（江南新城）常德市第二工人文化宫装修工程款1000万元；                                                                                                                                                                                                                   
    10、（区自然资源局）董家咀矿区水泥用石灰岩矿勘查费用300万元；                                                                                                                                                                                                
    11、（区发展和改革局）资产融资费用80万元。
    二、后段预计新增支出500万元。</t>
  </si>
  <si>
    <t>（四）地方政府新增债券列支</t>
  </si>
  <si>
    <t>置换年初预算已安排专项7206万元、后段预计支出中的有关建设项目预安排10343万元。（见附件6）</t>
  </si>
  <si>
    <t>（五）基金专项改列一般专项</t>
  </si>
  <si>
    <t>二、调减项目</t>
  </si>
  <si>
    <t>画墙建设资金</t>
  </si>
  <si>
    <t>预留区级专项调减</t>
  </si>
  <si>
    <t>对下级补助支出
（高新区财政体制调整补助等）</t>
  </si>
  <si>
    <t>部分预留专项资金结余、整合及置换</t>
  </si>
  <si>
    <t>新增一般债券置换7206万元（见附件6）</t>
  </si>
  <si>
    <t>公安局结转非税收入调减</t>
  </si>
  <si>
    <t>以前年度结转指标调减</t>
  </si>
  <si>
    <t>一般专项改列基金专项</t>
  </si>
  <si>
    <t>附件4:</t>
  </si>
  <si>
    <t>2023年新增上解支出调整明细表</t>
  </si>
  <si>
    <t>一般公共预算专项上解</t>
  </si>
  <si>
    <t xml:space="preserve">    非定额上解市</t>
  </si>
  <si>
    <t xml:space="preserve">      （1）德山火电厂垃圾焚烧</t>
  </si>
  <si>
    <t>2022年结算547万元</t>
  </si>
  <si>
    <t xml:space="preserve">      （2）新安学校扣款</t>
  </si>
  <si>
    <t xml:space="preserve">      （3）税务稽查机构上收</t>
  </si>
  <si>
    <t xml:space="preserve">      （4）江北城区财税体制税务手续费上解</t>
  </si>
  <si>
    <t>附件5：</t>
  </si>
  <si>
    <t>2023年区级政府性基金预算支出调整明细表</t>
  </si>
  <si>
    <t xml:space="preserve">编制:区财政局预算股                                                                               单位:万元  </t>
  </si>
  <si>
    <t>地方可用财力安排支出调减21823万元</t>
  </si>
  <si>
    <t>地方可用财力安排7177万元</t>
  </si>
  <si>
    <t>（一）后段预计支出</t>
  </si>
  <si>
    <t>（水利局）水系综合治理PPP运维费等缺口</t>
  </si>
  <si>
    <t>（住建局）市政管网PPP运维费等缺口</t>
  </si>
  <si>
    <t>专项债券利息</t>
  </si>
  <si>
    <t>（环卫处）2023年城乡环卫一体化缺口</t>
  </si>
  <si>
    <t>（住建局）城维费</t>
  </si>
  <si>
    <t>（农业农村局）农村人居环境整治</t>
  </si>
  <si>
    <t>（环卫处）过渡期乡镇垃圾清运费</t>
  </si>
  <si>
    <t>（二）新增专项债列收列支</t>
  </si>
  <si>
    <t>新增专项债券</t>
  </si>
  <si>
    <t>从债券资金中预安排</t>
  </si>
  <si>
    <t>（一）土地成本对应列支</t>
  </si>
  <si>
    <t xml:space="preserve">    土地成本由年初预算45000万元调整为25000万元，调减20000万元。                                                                           
    一、已列支11079万元：
    1、（区自然资源局）2021年度土地储备管理性业务费287.3万元；
    2、（区自然资源局）红云路与建新路交汇处东南角地块（含丰采小学地块）征拆补偿费用9500万元；
    3、（区自然资源事务中心）益阳至常德高速公路扩容工程项目征拆补偿款8.7659万元；
    4、（区水利局）农村饮水安全工程区级配套老欠资金200万元；
    5、（区自然资源局）风电场项目土地报批费用212.77413万元；
    6、（区自然资源局）2023年度第一批次建设项目土地报批费用330.27554万元；
    7、（区自然资源局）城镇基准地价更新与城区标定地价制定工作经费58.3万元；
    8、（区自然资源局）风电场项目社保资金168.4809万元；    
    9、（区自然资源事务中心）风电场项目征收土地拆迁费313.42万元。                                                                                                    
    二、后段预计列支13921万元。</t>
  </si>
  <si>
    <t>土地储备专项债券还本调减</t>
  </si>
  <si>
    <t>基金专项改列一般专项</t>
  </si>
  <si>
    <t>另：国有资本经营预算支出：预算收入1275万元调出至一般公共预算。</t>
  </si>
  <si>
    <t>附件6：</t>
  </si>
  <si>
    <t>2023年地方政府新增债券资金安排使用方案表</t>
  </si>
  <si>
    <t>项       目</t>
  </si>
  <si>
    <t>置换（安排）内容</t>
  </si>
  <si>
    <t>账务处理</t>
  </si>
  <si>
    <t>备     注</t>
  </si>
  <si>
    <t>合计</t>
  </si>
  <si>
    <t>年初预算
已安排</t>
  </si>
  <si>
    <t>1-9月
已追加等</t>
  </si>
  <si>
    <t>后段
预安排</t>
  </si>
  <si>
    <t>借款</t>
  </si>
  <si>
    <t>列支出</t>
  </si>
  <si>
    <t>挂往来</t>
  </si>
  <si>
    <t>合  计</t>
  </si>
  <si>
    <t>A、新增一般债券（列一般预算收支）</t>
  </si>
  <si>
    <t>一、教育科学文化、医疗卫生等
    社会事业基础设施</t>
  </si>
  <si>
    <t xml:space="preserve">    义务教育学校校舍安全保障资金</t>
  </si>
  <si>
    <t xml:space="preserve">    江南中学教学楼新建</t>
  </si>
  <si>
    <t xml:space="preserve">    新冠感染重症救治和转运能力提升</t>
  </si>
  <si>
    <t xml:space="preserve">    义务教育学校建设</t>
  </si>
  <si>
    <t xml:space="preserve">    红云学校建设</t>
  </si>
  <si>
    <t xml:space="preserve">    疫情防控</t>
  </si>
  <si>
    <t>二、生态环保建设工程</t>
  </si>
  <si>
    <t>三、市政建设工程</t>
  </si>
  <si>
    <t>四、水利基础设施</t>
  </si>
  <si>
    <t xml:space="preserve">    小水库除险加固</t>
  </si>
  <si>
    <t xml:space="preserve">五、交通基础设施 </t>
  </si>
  <si>
    <t xml:space="preserve">    善池路（建新路-永安路）新建工程</t>
  </si>
  <si>
    <t xml:space="preserve">    国省县道养护经费</t>
  </si>
  <si>
    <t xml:space="preserve">    “一号大道”养护经费</t>
  </si>
  <si>
    <t xml:space="preserve">    2021年实施的S311线（周家店段）路面大修、S224线（韩公渡段）路面大修、G319东线（谢家铺段）、S311线（镇德桥段）路面中修</t>
  </si>
  <si>
    <t xml:space="preserve">    2022年G319线路面大修工程</t>
  </si>
  <si>
    <t xml:space="preserve">    常德南收费站改扩建工程</t>
  </si>
  <si>
    <t xml:space="preserve">    创“四好农村”路</t>
  </si>
  <si>
    <t xml:space="preserve">    危桥改造</t>
  </si>
  <si>
    <t xml:space="preserve">    生命安防工程</t>
  </si>
  <si>
    <t xml:space="preserve">    旅游资源产业路</t>
  </si>
  <si>
    <t xml:space="preserve">    新东线（双桥坪加油站-大龙站墟场）</t>
  </si>
  <si>
    <t xml:space="preserve">    新东线（药山-双桥坪）</t>
  </si>
  <si>
    <t xml:space="preserve">    谢黄线</t>
  </si>
  <si>
    <t xml:space="preserve">    国省干线、农村公路</t>
  </si>
  <si>
    <t xml:space="preserve">    建新中路（阳明路-原319线）</t>
  </si>
  <si>
    <t xml:space="preserve">    健康路（滨江大道-临沅路）新建工程</t>
  </si>
  <si>
    <t xml:space="preserve">    红云路（金霞路-福广路）改建工程</t>
  </si>
  <si>
    <t xml:space="preserve">    S314线韩公渡至牛鼻滩安全生命防护工程</t>
  </si>
  <si>
    <t xml:space="preserve">    2022年S224、G319线路面大修工程</t>
  </si>
  <si>
    <t xml:space="preserve">    冲天坳-花岩溪牌坊</t>
  </si>
  <si>
    <t xml:space="preserve">    十美堂镇油菜花景区公路改造</t>
  </si>
  <si>
    <t xml:space="preserve">    花岩溪管理处水毁公路修复</t>
  </si>
  <si>
    <t xml:space="preserve">    黄土店至沧浪坪至安化</t>
  </si>
  <si>
    <t>六、农村民生工程和农村基础设施</t>
  </si>
  <si>
    <t>七、扶贫和保障性安居工程</t>
  </si>
  <si>
    <t>八、其他公益性资本项目</t>
  </si>
  <si>
    <t>B、新增专项债券（列基金预算收支）</t>
  </si>
  <si>
    <t>一、鼎城区应急医疗救治中心建设项目</t>
  </si>
  <si>
    <t>二、鼎城区健康养老服务（一期）提升工程</t>
  </si>
  <si>
    <t>三、常德市江南污水处理厂扩建（三期）及配套管网建设项目</t>
  </si>
  <si>
    <t>四、常德高新区新材料产业园建设项目</t>
  </si>
  <si>
    <t>五、常德高新区智慧停车场建设项目</t>
  </si>
  <si>
    <t>六、常德高新区创新创业园标准化厂房及配套设施建设项目</t>
  </si>
  <si>
    <t>七、江南片区改造项目二期湘运地块项目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</si>
</sst>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00_ "/>
    <numFmt numFmtId="178" formatCode="0.00_ "/>
  </numFmts>
  <fonts count="51">
    <font>
      <sz val="12"/>
      <name val="宋体"/>
      <charset val="134"/>
    </font>
    <font>
      <sz val="11"/>
      <name val="宋体"/>
      <charset val="134"/>
    </font>
    <font>
      <sz val="13"/>
      <name val="宋体"/>
      <charset val="134"/>
    </font>
    <font>
      <b/>
      <sz val="24"/>
      <name val="楷体_GB2312"/>
      <charset val="134"/>
    </font>
    <font>
      <sz val="18"/>
      <name val="方正小标宋_GBK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3"/>
      <name val="楷体_GB2312"/>
      <charset val="134"/>
    </font>
    <font>
      <b/>
      <sz val="20"/>
      <name val="楷体_GB2312"/>
      <charset val="134"/>
    </font>
    <font>
      <b/>
      <sz val="18"/>
      <name val="楷体_GB2312"/>
      <charset val="134"/>
    </font>
    <font>
      <b/>
      <sz val="22"/>
      <name val="楷体_GB2312"/>
      <charset val="134"/>
    </font>
    <font>
      <sz val="9"/>
      <name val="宋体"/>
      <charset val="134"/>
    </font>
    <font>
      <sz val="11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Tahoma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Tahoma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sz val="11"/>
      <color indexed="8"/>
      <name val="宋体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b/>
      <sz val="6"/>
      <name val="宋体"/>
      <charset val="134"/>
    </font>
    <font>
      <sz val="6"/>
      <name val="宋体"/>
      <charset val="134"/>
    </font>
    <font>
      <b/>
      <sz val="8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33" borderId="27" applyNumberFormat="0" applyFon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22" borderId="25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2" fillId="22" borderId="22" applyNumberFormat="0" applyAlignment="0" applyProtection="0">
      <alignment vertical="center"/>
    </xf>
    <xf numFmtId="0" fontId="24" fillId="15" borderId="23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</xf>
    <xf numFmtId="0" fontId="0" fillId="0" borderId="0"/>
    <xf numFmtId="0" fontId="44" fillId="0" borderId="0" applyNumberForma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</cellStyleXfs>
  <cellXfs count="188">
    <xf numFmtId="0" fontId="0" fillId="0" borderId="0" xfId="0"/>
    <xf numFmtId="176" fontId="1" fillId="0" borderId="0" xfId="106" applyNumberFormat="1" applyFont="1" applyFill="1" applyAlignment="1">
      <alignment vertical="center"/>
    </xf>
    <xf numFmtId="176" fontId="0" fillId="0" borderId="0" xfId="106" applyNumberFormat="1" applyFont="1" applyFill="1" applyAlignment="1">
      <alignment vertical="center"/>
    </xf>
    <xf numFmtId="176" fontId="2" fillId="0" borderId="0" xfId="106" applyNumberFormat="1" applyFont="1" applyFill="1" applyAlignment="1">
      <alignment vertical="center"/>
    </xf>
    <xf numFmtId="176" fontId="3" fillId="0" borderId="0" xfId="106" applyNumberFormat="1" applyFont="1" applyFill="1" applyAlignment="1">
      <alignment horizontal="center" vertical="center"/>
    </xf>
    <xf numFmtId="176" fontId="4" fillId="0" borderId="0" xfId="106" applyNumberFormat="1" applyFont="1" applyFill="1" applyAlignment="1">
      <alignment horizontal="center" vertical="center"/>
    </xf>
    <xf numFmtId="176" fontId="0" fillId="0" borderId="0" xfId="106" applyNumberFormat="1" applyFont="1" applyFill="1" applyBorder="1" applyAlignment="1">
      <alignment vertical="center"/>
    </xf>
    <xf numFmtId="31" fontId="0" fillId="0" borderId="1" xfId="106" applyNumberFormat="1" applyFont="1" applyFill="1" applyBorder="1" applyAlignment="1">
      <alignment horizontal="center" vertical="center"/>
    </xf>
    <xf numFmtId="176" fontId="1" fillId="0" borderId="2" xfId="106" applyNumberFormat="1" applyFont="1" applyFill="1" applyBorder="1" applyAlignment="1">
      <alignment horizontal="center" vertical="center" wrapText="1"/>
    </xf>
    <xf numFmtId="176" fontId="1" fillId="0" borderId="2" xfId="106" applyNumberFormat="1" applyFont="1" applyFill="1" applyBorder="1" applyAlignment="1">
      <alignment horizontal="center" vertical="center"/>
    </xf>
    <xf numFmtId="176" fontId="5" fillId="0" borderId="2" xfId="106" applyNumberFormat="1" applyFont="1" applyFill="1" applyBorder="1" applyAlignment="1">
      <alignment horizontal="center" vertical="center" wrapText="1"/>
    </xf>
    <xf numFmtId="177" fontId="6" fillId="0" borderId="2" xfId="106" applyNumberFormat="1" applyFont="1" applyFill="1" applyBorder="1" applyAlignment="1">
      <alignment vertical="center" wrapText="1"/>
    </xf>
    <xf numFmtId="176" fontId="5" fillId="0" borderId="2" xfId="106" applyNumberFormat="1" applyFont="1" applyFill="1" applyBorder="1" applyAlignment="1">
      <alignment horizontal="left" vertical="center" wrapText="1"/>
    </xf>
    <xf numFmtId="176" fontId="6" fillId="0" borderId="2" xfId="106" applyNumberFormat="1" applyFont="1" applyFill="1" applyBorder="1" applyAlignment="1">
      <alignment vertical="center" wrapText="1"/>
    </xf>
    <xf numFmtId="176" fontId="1" fillId="0" borderId="2" xfId="105" applyNumberFormat="1" applyFont="1" applyFill="1" applyBorder="1" applyAlignment="1">
      <alignment vertical="center" wrapText="1"/>
    </xf>
    <xf numFmtId="177" fontId="1" fillId="0" borderId="2" xfId="106" applyNumberFormat="1" applyFont="1" applyFill="1" applyBorder="1" applyAlignment="1">
      <alignment vertical="center" wrapText="1"/>
    </xf>
    <xf numFmtId="177" fontId="1" fillId="0" borderId="2" xfId="105" applyNumberFormat="1" applyFont="1" applyFill="1" applyBorder="1" applyAlignment="1">
      <alignment vertical="center" wrapText="1"/>
    </xf>
    <xf numFmtId="176" fontId="1" fillId="0" borderId="2" xfId="106" applyNumberFormat="1" applyFont="1" applyFill="1" applyBorder="1" applyAlignment="1">
      <alignment vertical="center" wrapText="1"/>
    </xf>
    <xf numFmtId="2" fontId="1" fillId="0" borderId="2" xfId="102" applyNumberFormat="1" applyFont="1" applyFill="1" applyBorder="1" applyAlignment="1">
      <alignment horizontal="left" vertical="center" wrapText="1"/>
    </xf>
    <xf numFmtId="0" fontId="1" fillId="0" borderId="2" xfId="88" applyFont="1" applyFill="1" applyBorder="1" applyAlignment="1">
      <alignment horizontal="left" vertical="center" wrapText="1"/>
    </xf>
    <xf numFmtId="2" fontId="1" fillId="0" borderId="2" xfId="101" applyNumberFormat="1" applyFont="1" applyFill="1" applyBorder="1" applyAlignment="1">
      <alignment horizontal="left" vertical="center" wrapText="1"/>
    </xf>
    <xf numFmtId="0" fontId="1" fillId="0" borderId="2" xfId="89" applyFont="1" applyFill="1" applyBorder="1" applyAlignment="1">
      <alignment horizontal="left" vertical="center" wrapText="1"/>
    </xf>
    <xf numFmtId="2" fontId="1" fillId="0" borderId="2" xfId="89" applyNumberFormat="1" applyFont="1" applyFill="1" applyBorder="1" applyAlignment="1">
      <alignment horizontal="left" vertical="center" wrapText="1"/>
    </xf>
    <xf numFmtId="176" fontId="1" fillId="0" borderId="2" xfId="105" applyNumberFormat="1" applyFont="1" applyFill="1" applyBorder="1" applyAlignment="1">
      <alignment horizontal="left" vertical="center" wrapText="1"/>
    </xf>
    <xf numFmtId="176" fontId="1" fillId="0" borderId="2" xfId="106" applyNumberFormat="1" applyFont="1" applyFill="1" applyBorder="1" applyAlignment="1">
      <alignment horizontal="left" vertical="center" wrapText="1" indent="1"/>
    </xf>
    <xf numFmtId="177" fontId="1" fillId="0" borderId="2" xfId="106" applyNumberFormat="1" applyFont="1" applyFill="1" applyBorder="1" applyAlignment="1">
      <alignment vertical="center"/>
    </xf>
    <xf numFmtId="176" fontId="1" fillId="0" borderId="2" xfId="106" applyNumberFormat="1" applyFont="1" applyFill="1" applyBorder="1" applyAlignment="1">
      <alignment vertical="center"/>
    </xf>
    <xf numFmtId="176" fontId="0" fillId="0" borderId="0" xfId="106" applyNumberFormat="1" applyFont="1" applyFill="1" applyBorder="1" applyAlignment="1">
      <alignment horizontal="right" vertical="center"/>
    </xf>
    <xf numFmtId="0" fontId="7" fillId="0" borderId="0" xfId="70" applyFont="1" applyFill="1">
      <alignment vertical="center"/>
    </xf>
    <xf numFmtId="0" fontId="8" fillId="0" borderId="0" xfId="70" applyFont="1" applyFill="1">
      <alignment vertical="center"/>
    </xf>
    <xf numFmtId="0" fontId="8" fillId="0" borderId="0" xfId="94" applyFont="1" applyFill="1">
      <alignment vertical="center"/>
    </xf>
    <xf numFmtId="0" fontId="0" fillId="0" borderId="0" xfId="70" applyFont="1" applyFill="1" applyAlignment="1">
      <alignment vertical="center" wrapText="1"/>
    </xf>
    <xf numFmtId="0" fontId="0" fillId="0" borderId="0" xfId="70" applyFont="1" applyFill="1">
      <alignment vertical="center"/>
    </xf>
    <xf numFmtId="0" fontId="9" fillId="0" borderId="0" xfId="70" applyFont="1" applyFill="1" applyAlignment="1">
      <alignment horizontal="center" vertical="center"/>
    </xf>
    <xf numFmtId="0" fontId="1" fillId="0" borderId="0" xfId="70" applyFont="1" applyFill="1" applyBorder="1" applyAlignment="1">
      <alignment horizontal="left" vertical="center" wrapText="1"/>
    </xf>
    <xf numFmtId="0" fontId="8" fillId="0" borderId="3" xfId="70" applyFont="1" applyFill="1" applyBorder="1" applyAlignment="1">
      <alignment horizontal="center" vertical="center" wrapText="1"/>
    </xf>
    <xf numFmtId="0" fontId="8" fillId="0" borderId="4" xfId="98" applyFont="1" applyFill="1" applyBorder="1" applyAlignment="1">
      <alignment horizontal="center" vertical="center" wrapText="1"/>
    </xf>
    <xf numFmtId="0" fontId="8" fillId="0" borderId="5" xfId="70" applyFont="1" applyFill="1" applyBorder="1" applyAlignment="1">
      <alignment horizontal="center" vertical="center"/>
    </xf>
    <xf numFmtId="0" fontId="8" fillId="0" borderId="6" xfId="70" applyFont="1" applyFill="1" applyBorder="1" applyAlignment="1">
      <alignment horizontal="center" vertical="center" wrapText="1"/>
    </xf>
    <xf numFmtId="176" fontId="8" fillId="0" borderId="2" xfId="70" applyNumberFormat="1" applyFont="1" applyFill="1" applyBorder="1" applyAlignment="1">
      <alignment vertical="center"/>
    </xf>
    <xf numFmtId="0" fontId="1" fillId="0" borderId="7" xfId="70" applyFont="1" applyFill="1" applyBorder="1" applyAlignment="1">
      <alignment vertical="center" wrapText="1"/>
    </xf>
    <xf numFmtId="0" fontId="8" fillId="0" borderId="6" xfId="70" applyFont="1" applyFill="1" applyBorder="1" applyAlignment="1">
      <alignment vertical="center" wrapText="1"/>
    </xf>
    <xf numFmtId="0" fontId="0" fillId="0" borderId="6" xfId="107" applyFont="1" applyFill="1" applyBorder="1" applyAlignment="1">
      <alignment horizontal="left" vertical="center" wrapText="1"/>
    </xf>
    <xf numFmtId="176" fontId="0" fillId="0" borderId="2" xfId="94" applyNumberFormat="1" applyFont="1" applyFill="1" applyBorder="1" applyAlignment="1">
      <alignment vertical="center"/>
    </xf>
    <xf numFmtId="0" fontId="1" fillId="0" borderId="7" xfId="94" applyFont="1" applyFill="1" applyBorder="1" applyAlignment="1">
      <alignment vertical="center" wrapText="1"/>
    </xf>
    <xf numFmtId="0" fontId="0" fillId="0" borderId="6" xfId="94" applyFont="1" applyFill="1" applyBorder="1" applyAlignment="1">
      <alignment vertical="center" wrapText="1"/>
    </xf>
    <xf numFmtId="0" fontId="1" fillId="0" borderId="8" xfId="107" applyFont="1" applyFill="1" applyBorder="1" applyAlignment="1">
      <alignment vertical="center" wrapText="1"/>
    </xf>
    <xf numFmtId="0" fontId="1" fillId="0" borderId="7" xfId="107" applyFont="1" applyFill="1" applyBorder="1" applyAlignment="1">
      <alignment horizontal="left" vertical="center" wrapText="1"/>
    </xf>
    <xf numFmtId="0" fontId="1" fillId="0" borderId="7" xfId="96" applyFont="1" applyFill="1" applyBorder="1" applyAlignment="1">
      <alignment vertical="center" wrapText="1"/>
    </xf>
    <xf numFmtId="0" fontId="0" fillId="0" borderId="6" xfId="70" applyFont="1" applyFill="1" applyBorder="1" applyAlignment="1">
      <alignment vertical="center" wrapText="1"/>
    </xf>
    <xf numFmtId="176" fontId="0" fillId="0" borderId="2" xfId="70" applyNumberFormat="1" applyFont="1" applyFill="1" applyBorder="1" applyAlignment="1">
      <alignment vertical="center"/>
    </xf>
    <xf numFmtId="0" fontId="0" fillId="0" borderId="7" xfId="70" applyFont="1" applyFill="1" applyBorder="1" applyAlignment="1">
      <alignment vertical="center" wrapText="1"/>
    </xf>
    <xf numFmtId="0" fontId="8" fillId="0" borderId="6" xfId="70" applyFont="1" applyFill="1" applyBorder="1" applyAlignment="1">
      <alignment horizontal="left" vertical="center" wrapText="1"/>
    </xf>
    <xf numFmtId="176" fontId="8" fillId="0" borderId="2" xfId="70" applyNumberFormat="1" applyFont="1" applyFill="1" applyBorder="1" applyAlignment="1">
      <alignment horizontal="right" vertical="center"/>
    </xf>
    <xf numFmtId="0" fontId="7" fillId="0" borderId="7" xfId="70" applyFont="1" applyFill="1" applyBorder="1" applyAlignment="1">
      <alignment vertical="center" wrapText="1"/>
    </xf>
    <xf numFmtId="0" fontId="6" fillId="0" borderId="7" xfId="70" applyFont="1" applyFill="1" applyBorder="1" applyAlignment="1">
      <alignment vertical="center" wrapText="1"/>
    </xf>
    <xf numFmtId="0" fontId="0" fillId="0" borderId="9" xfId="70" applyFont="1" applyFill="1" applyBorder="1" applyAlignment="1">
      <alignment vertical="center" wrapText="1"/>
    </xf>
    <xf numFmtId="176" fontId="0" fillId="0" borderId="10" xfId="70" applyNumberFormat="1" applyFont="1" applyFill="1" applyBorder="1" applyAlignment="1">
      <alignment vertical="center"/>
    </xf>
    <xf numFmtId="0" fontId="1" fillId="0" borderId="11" xfId="70" applyFont="1" applyFill="1" applyBorder="1" applyAlignment="1">
      <alignment vertical="center" wrapText="1"/>
    </xf>
    <xf numFmtId="0" fontId="8" fillId="0" borderId="0" xfId="70" applyFont="1" applyFill="1" applyBorder="1" applyAlignment="1">
      <alignment vertical="center" wrapText="1"/>
    </xf>
    <xf numFmtId="0" fontId="0" fillId="0" borderId="0" xfId="70" applyFont="1" applyFill="1" applyBorder="1" applyAlignment="1">
      <alignment vertical="center" wrapText="1"/>
    </xf>
    <xf numFmtId="0" fontId="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1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9" xfId="103" applyFont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7" fillId="0" borderId="0" xfId="94" applyFont="1" applyFill="1">
      <alignment vertical="center"/>
    </xf>
    <xf numFmtId="0" fontId="0" fillId="0" borderId="0" xfId="94" applyFont="1" applyFill="1" applyAlignment="1">
      <alignment vertical="center" wrapText="1"/>
    </xf>
    <xf numFmtId="0" fontId="0" fillId="0" borderId="0" xfId="94" applyFont="1" applyFill="1">
      <alignment vertical="center"/>
    </xf>
    <xf numFmtId="0" fontId="12" fillId="0" borderId="0" xfId="94" applyFont="1" applyFill="1" applyAlignment="1">
      <alignment horizontal="center" vertical="center"/>
    </xf>
    <xf numFmtId="0" fontId="1" fillId="0" borderId="0" xfId="94" applyFont="1" applyFill="1" applyBorder="1" applyAlignment="1">
      <alignment vertical="center" wrapText="1"/>
    </xf>
    <xf numFmtId="0" fontId="1" fillId="0" borderId="0" xfId="94" applyFont="1" applyFill="1" applyBorder="1" applyAlignment="1">
      <alignment horizontal="right" vertical="center" wrapText="1"/>
    </xf>
    <xf numFmtId="0" fontId="8" fillId="0" borderId="3" xfId="94" applyFont="1" applyFill="1" applyBorder="1" applyAlignment="1">
      <alignment horizontal="center" vertical="center" wrapText="1"/>
    </xf>
    <xf numFmtId="0" fontId="8" fillId="0" borderId="4" xfId="97" applyFont="1" applyFill="1" applyBorder="1" applyAlignment="1">
      <alignment horizontal="center" vertical="center" wrapText="1"/>
    </xf>
    <xf numFmtId="0" fontId="8" fillId="0" borderId="5" xfId="94" applyFont="1" applyFill="1" applyBorder="1" applyAlignment="1">
      <alignment horizontal="center" vertical="center"/>
    </xf>
    <xf numFmtId="0" fontId="8" fillId="0" borderId="6" xfId="94" applyFont="1" applyFill="1" applyBorder="1" applyAlignment="1">
      <alignment horizontal="center" vertical="center" wrapText="1"/>
    </xf>
    <xf numFmtId="176" fontId="8" fillId="0" borderId="2" xfId="94" applyNumberFormat="1" applyFont="1" applyFill="1" applyBorder="1" applyAlignment="1">
      <alignment vertical="center"/>
    </xf>
    <xf numFmtId="0" fontId="8" fillId="0" borderId="6" xfId="94" applyFont="1" applyFill="1" applyBorder="1" applyAlignment="1">
      <alignment vertical="center" wrapText="1"/>
    </xf>
    <xf numFmtId="0" fontId="1" fillId="0" borderId="7" xfId="93" applyFont="1" applyFill="1" applyBorder="1" applyAlignment="1">
      <alignment vertical="center" wrapText="1"/>
    </xf>
    <xf numFmtId="0" fontId="0" fillId="0" borderId="7" xfId="94" applyFont="1" applyFill="1" applyBorder="1" applyAlignment="1">
      <alignment vertical="center" wrapText="1"/>
    </xf>
    <xf numFmtId="0" fontId="0" fillId="0" borderId="6" xfId="104" applyFont="1" applyFill="1" applyBorder="1" applyAlignment="1">
      <alignment horizontal="left" vertical="center" wrapText="1"/>
    </xf>
    <xf numFmtId="0" fontId="1" fillId="0" borderId="7" xfId="104" applyFont="1" applyFill="1" applyBorder="1" applyAlignment="1">
      <alignment horizontal="left" vertical="center"/>
    </xf>
    <xf numFmtId="0" fontId="0" fillId="0" borderId="6" xfId="60" applyFont="1" applyFill="1" applyBorder="1" applyAlignment="1">
      <alignment horizontal="left" vertical="center" wrapText="1"/>
    </xf>
    <xf numFmtId="0" fontId="1" fillId="0" borderId="7" xfId="60" applyFont="1" applyFill="1" applyBorder="1" applyAlignment="1">
      <alignment horizontal="left" vertical="center"/>
    </xf>
    <xf numFmtId="0" fontId="0" fillId="0" borderId="7" xfId="104" applyFont="1" applyFill="1" applyBorder="1" applyAlignment="1">
      <alignment horizontal="left" vertical="center"/>
    </xf>
    <xf numFmtId="0" fontId="6" fillId="0" borderId="7" xfId="94" applyFont="1" applyFill="1" applyBorder="1" applyAlignment="1">
      <alignment vertical="center" wrapText="1"/>
    </xf>
    <xf numFmtId="0" fontId="8" fillId="0" borderId="12" xfId="94" applyFont="1" applyFill="1" applyBorder="1" applyAlignment="1">
      <alignment horizontal="left" vertical="center" wrapText="1"/>
    </xf>
    <xf numFmtId="176" fontId="8" fillId="0" borderId="13" xfId="94" applyNumberFormat="1" applyFont="1" applyFill="1" applyBorder="1" applyAlignment="1">
      <alignment horizontal="center" vertical="center"/>
    </xf>
    <xf numFmtId="0" fontId="13" fillId="0" borderId="7" xfId="94" applyFont="1" applyFill="1" applyBorder="1" applyAlignment="1">
      <alignment vertical="center" wrapText="1"/>
    </xf>
    <xf numFmtId="0" fontId="1" fillId="0" borderId="8" xfId="94" applyFont="1" applyFill="1" applyBorder="1" applyAlignment="1">
      <alignment vertical="center" wrapText="1"/>
    </xf>
    <xf numFmtId="0" fontId="7" fillId="0" borderId="7" xfId="94" applyFont="1" applyFill="1" applyBorder="1" applyAlignment="1">
      <alignment vertical="center" wrapText="1"/>
    </xf>
    <xf numFmtId="0" fontId="0" fillId="0" borderId="12" xfId="94" applyFont="1" applyFill="1" applyBorder="1" applyAlignment="1">
      <alignment vertical="center" wrapText="1"/>
    </xf>
    <xf numFmtId="176" fontId="0" fillId="0" borderId="13" xfId="94" applyNumberFormat="1" applyFont="1" applyFill="1" applyBorder="1" applyAlignment="1">
      <alignment vertical="center"/>
    </xf>
    <xf numFmtId="0" fontId="1" fillId="0" borderId="14" xfId="94" applyFont="1" applyFill="1" applyBorder="1" applyAlignment="1">
      <alignment vertical="center" wrapText="1"/>
    </xf>
    <xf numFmtId="0" fontId="0" fillId="0" borderId="9" xfId="94" applyFont="1" applyFill="1" applyBorder="1" applyAlignment="1">
      <alignment vertical="center" wrapText="1"/>
    </xf>
    <xf numFmtId="176" fontId="0" fillId="0" borderId="10" xfId="94" applyNumberFormat="1" applyFont="1" applyFill="1" applyBorder="1" applyAlignment="1">
      <alignment vertical="center"/>
    </xf>
    <xf numFmtId="0" fontId="1" fillId="0" borderId="11" xfId="94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0" xfId="100" applyFont="1" applyAlignment="1">
      <alignment vertical="center" wrapText="1"/>
    </xf>
    <xf numFmtId="0" fontId="0" fillId="0" borderId="15" xfId="0" applyNumberFormat="1" applyFont="1" applyBorder="1" applyAlignment="1">
      <alignment horizontal="center" vertical="center"/>
    </xf>
    <xf numFmtId="0" fontId="0" fillId="0" borderId="0" xfId="100" applyFont="1" applyAlignment="1">
      <alignment horizontal="righ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7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/>
    <xf numFmtId="0" fontId="2" fillId="0" borderId="0" xfId="0" applyFont="1" applyFill="1"/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1" fontId="14" fillId="0" borderId="0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178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7" xfId="77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1" fillId="0" borderId="7" xfId="99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justify" vertical="center" wrapText="1"/>
    </xf>
    <xf numFmtId="178" fontId="0" fillId="0" borderId="2" xfId="0" applyNumberFormat="1" applyFont="1" applyFill="1" applyBorder="1" applyAlignment="1">
      <alignment vertical="center"/>
    </xf>
    <xf numFmtId="178" fontId="8" fillId="0" borderId="10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justify" vertical="center" wrapText="1"/>
    </xf>
  </cellXfs>
  <cellStyles count="11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好_附表八2021年地方政府新增债券资金安排使用方案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好_2020年区级一般公共预算支出调整_附表八2021年地方政府新增债券资金安排使用方案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40% - 着色 4" xfId="31"/>
    <cellStyle name="计算" xfId="32" builtinId="22"/>
    <cellStyle name="检查单元格" xfId="33" builtinId="23"/>
    <cellStyle name="差_2020年下半年预计增加支出统计表（汇总）" xfId="34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40% - 着色 5" xfId="39"/>
    <cellStyle name="好" xfId="40" builtinId="26"/>
    <cellStyle name="适中" xfId="41" builtinId="28"/>
    <cellStyle name="着色 5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60% - 着色 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60% - 着色 3" xfId="52"/>
    <cellStyle name="20% - 强调文字颜色 4" xfId="53" builtinId="42"/>
    <cellStyle name="40% - 强调文字颜色 4" xfId="54" builtinId="43"/>
    <cellStyle name="20% - 着色 1" xfId="55"/>
    <cellStyle name="强调文字颜色 5" xfId="56" builtinId="45"/>
    <cellStyle name="40% - 强调文字颜色 5" xfId="57" builtinId="47"/>
    <cellStyle name="20% - 着色 2" xfId="58"/>
    <cellStyle name="60% - 强调文字颜色 5" xfId="59" builtinId="48"/>
    <cellStyle name="常规 2_附表五2020年区级一般公共预算支出调整" xfId="60"/>
    <cellStyle name="强调文字颜色 6" xfId="61" builtinId="49"/>
    <cellStyle name="20% - 着色 3" xfId="62"/>
    <cellStyle name="40% - 强调文字颜色 6" xfId="63" builtinId="51"/>
    <cellStyle name="60% - 强调文字颜色 6" xfId="64" builtinId="52"/>
    <cellStyle name="20% - 着色 4" xfId="65"/>
    <cellStyle name="20% - 着色 6" xfId="66"/>
    <cellStyle name="着色 2" xfId="67"/>
    <cellStyle name="40% - 着色 1" xfId="68"/>
    <cellStyle name="40% - 着色 2" xfId="69"/>
    <cellStyle name="常规 3 2_2020年调整预算" xfId="70"/>
    <cellStyle name="好_（附表一）2019年调整预算新增收支简表10.18" xfId="71"/>
    <cellStyle name="40% - 着色 6" xfId="72"/>
    <cellStyle name="60% - 着色 4" xfId="73"/>
    <cellStyle name="60% - 着色 5" xfId="74"/>
    <cellStyle name="60% - 着色 6" xfId="75"/>
    <cellStyle name="ColLevel_1" xfId="76"/>
    <cellStyle name="常规 2" xfId="77"/>
    <cellStyle name="RowLevel_1" xfId="78"/>
    <cellStyle name="差_（附表一）2019年调整预算新增收支简表10.18" xfId="79"/>
    <cellStyle name="差_（人大会报告附表）2019年调整预算报告附表" xfId="80"/>
    <cellStyle name="差_2020年地方政府新增债券资金安排使用方案表（第一批新增一般债券）" xfId="81"/>
    <cellStyle name="差_2020年区级一般公共预算支出调整" xfId="82"/>
    <cellStyle name="差_2020年区级一般公共预算支出调整_附表八2021年地方政府新增债券资金安排使用方案" xfId="83"/>
    <cellStyle name="差_Book1" xfId="84"/>
    <cellStyle name="差_Book1_附表八2021年地方政府新增债券资金安排使用方案" xfId="85"/>
    <cellStyle name="差_附表八2021年地方政府新增债券资金安排使用方案" xfId="86"/>
    <cellStyle name="差_附表五2020年区级一般公共预算支出调整" xfId="87"/>
    <cellStyle name="常规 2 10 5" xfId="88"/>
    <cellStyle name="常规 2 10 5 3" xfId="89"/>
    <cellStyle name="常规 2 2" xfId="90"/>
    <cellStyle name="常规 2_（8月汇总）2021年未纳入预算需新增安排项目情况表" xfId="91"/>
    <cellStyle name="常规 27" xfId="92"/>
    <cellStyle name="常规 3" xfId="93"/>
    <cellStyle name="常规 3 2" xfId="94"/>
    <cellStyle name="常规 3_（附表一二三）2019年调整预算后段预计支出明细表10.18" xfId="95"/>
    <cellStyle name="常规 3_2020年调整预算" xfId="96"/>
    <cellStyle name="常规 4" xfId="97"/>
    <cellStyle name="常规 4_2020年调整预算" xfId="98"/>
    <cellStyle name="常规_（2）2015年区级财政收支预安排表" xfId="99"/>
    <cellStyle name="常规_2011年财政收入完成情况" xfId="100"/>
    <cellStyle name="常规_Sheet1 5" xfId="101"/>
    <cellStyle name="常规_Sheet1_2020年地方政府新增债券资金安排使用方案表（第一批新增一般债券）" xfId="102"/>
    <cellStyle name="常规_Sheet1_2021年调整预算（11.10）" xfId="103"/>
    <cellStyle name="常规_Sheet1_附表五2020年区级一般公共预算支出调整" xfId="104"/>
    <cellStyle name="常规_附2-2017年地方政府新增债券资金安排使用方案 2" xfId="105"/>
    <cellStyle name="常规_附2-2017年地方政府新增债券资金安排使用方案 2_2020年地方政府新增债券资金安排使用方案表（第一批新增一般债券）" xfId="106"/>
    <cellStyle name="常规_附表五202年区级一般公共预算支出调整" xfId="107"/>
    <cellStyle name="好_（人大会报告附表）2019年调整预算报告附表" xfId="108"/>
    <cellStyle name="好_2020年地方政府新增债券资金安排使用方案表（第一批新增一般债券）" xfId="109"/>
    <cellStyle name="好_2020年区级一般公共预算支出调整" xfId="110"/>
    <cellStyle name="好_附表五2020年区级一般公共预算支出调整" xfId="111"/>
    <cellStyle name="好_2020年下半年预计增加支出统计表（汇总）" xfId="112"/>
    <cellStyle name="好_Book1" xfId="113"/>
    <cellStyle name="好_Book1_附表八2021年地方政府新增债券资金安排使用方案" xfId="114"/>
    <cellStyle name="着色 3" xfId="115"/>
    <cellStyle name="着色 4" xfId="116"/>
    <cellStyle name="着色 6" xfId="11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tabSelected="1" workbookViewId="0">
      <pane ySplit="6" topLeftCell="A13" activePane="bottomLeft" state="frozen"/>
      <selection/>
      <selection pane="bottomLeft" activeCell="F25" sqref="F25"/>
    </sheetView>
  </sheetViews>
  <sheetFormatPr defaultColWidth="9" defaultRowHeight="14.25"/>
  <cols>
    <col min="1" max="1" width="31.25" style="136" customWidth="1"/>
    <col min="2" max="2" width="9.375" style="136" customWidth="1"/>
    <col min="3" max="3" width="9.625" style="136" customWidth="1"/>
    <col min="4" max="4" width="9" style="136"/>
    <col min="5" max="5" width="9.625" style="137" customWidth="1"/>
    <col min="6" max="6" width="10.25" style="136" customWidth="1"/>
    <col min="7" max="7" width="8.75" style="136" customWidth="1"/>
    <col min="8" max="8" width="9" style="136"/>
    <col min="9" max="9" width="9.25" style="136" customWidth="1"/>
    <col min="10" max="10" width="44.5" style="136" customWidth="1"/>
    <col min="11" max="11" width="11.875" style="136" customWidth="1"/>
    <col min="12" max="16384" width="9" style="136"/>
  </cols>
  <sheetData>
    <row r="1" ht="15" spans="1:1">
      <c r="A1" s="138" t="s">
        <v>0</v>
      </c>
    </row>
    <row r="2" ht="30" customHeight="1" spans="1:10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customHeight="1"/>
    <row r="4" s="134" customFormat="1" ht="22.5" customHeight="1" spans="1:10">
      <c r="A4" s="140" t="s">
        <v>2</v>
      </c>
      <c r="B4" s="140"/>
      <c r="C4" s="140"/>
      <c r="D4" s="140"/>
      <c r="E4" s="140"/>
      <c r="F4" s="140"/>
      <c r="G4" s="140"/>
      <c r="H4" s="141"/>
      <c r="I4" s="141"/>
      <c r="J4" s="169" t="s">
        <v>3</v>
      </c>
    </row>
    <row r="5" ht="30" customHeight="1" spans="1:10">
      <c r="A5" s="142" t="s">
        <v>4</v>
      </c>
      <c r="B5" s="143" t="s">
        <v>5</v>
      </c>
      <c r="C5" s="144" t="s">
        <v>6</v>
      </c>
      <c r="D5" s="144"/>
      <c r="E5" s="145" t="s">
        <v>7</v>
      </c>
      <c r="F5" s="143" t="s">
        <v>8</v>
      </c>
      <c r="G5" s="143" t="s">
        <v>9</v>
      </c>
      <c r="H5" s="146" t="s">
        <v>10</v>
      </c>
      <c r="I5" s="146"/>
      <c r="J5" s="170" t="s">
        <v>11</v>
      </c>
    </row>
    <row r="6" ht="30" customHeight="1" spans="1:10">
      <c r="A6" s="147"/>
      <c r="B6" s="148"/>
      <c r="C6" s="149" t="s">
        <v>12</v>
      </c>
      <c r="D6" s="150" t="s">
        <v>13</v>
      </c>
      <c r="E6" s="151"/>
      <c r="F6" s="148"/>
      <c r="G6" s="148"/>
      <c r="H6" s="149" t="s">
        <v>14</v>
      </c>
      <c r="I6" s="171" t="s">
        <v>15</v>
      </c>
      <c r="J6" s="172"/>
    </row>
    <row r="7" ht="40.5" spans="1:10">
      <c r="A7" s="152" t="s">
        <v>16</v>
      </c>
      <c r="B7" s="153">
        <v>217153</v>
      </c>
      <c r="C7" s="153">
        <f>C8+C16</f>
        <v>95751</v>
      </c>
      <c r="D7" s="154">
        <f>C7/B7*100</f>
        <v>44.09</v>
      </c>
      <c r="E7" s="71">
        <f>F7-B7</f>
        <v>15679</v>
      </c>
      <c r="F7" s="153">
        <f>F8+F16</f>
        <v>232832</v>
      </c>
      <c r="G7" s="153">
        <v>201068</v>
      </c>
      <c r="H7" s="155">
        <f t="shared" ref="H7:H18" si="0">F7-G7</f>
        <v>31764</v>
      </c>
      <c r="I7" s="154">
        <f>H7/G7*100</f>
        <v>15.8</v>
      </c>
      <c r="J7" s="129" t="s">
        <v>17</v>
      </c>
    </row>
    <row r="8" ht="67.5" spans="1:10">
      <c r="A8" s="152" t="s">
        <v>18</v>
      </c>
      <c r="B8" s="71">
        <v>145527</v>
      </c>
      <c r="C8" s="71">
        <f>C9</f>
        <v>47292</v>
      </c>
      <c r="D8" s="154">
        <f t="shared" ref="D8:D24" si="1">C8/B8*100</f>
        <v>32.5</v>
      </c>
      <c r="E8" s="71">
        <f>F8-B8</f>
        <v>-59205</v>
      </c>
      <c r="F8" s="71">
        <f>F9</f>
        <v>86322</v>
      </c>
      <c r="G8" s="71">
        <v>134748</v>
      </c>
      <c r="H8" s="155">
        <f t="shared" si="0"/>
        <v>-48426</v>
      </c>
      <c r="I8" s="154">
        <f>H8/G8*100</f>
        <v>-35.94</v>
      </c>
      <c r="J8" s="129" t="s">
        <v>19</v>
      </c>
    </row>
    <row r="9" ht="24.75" customHeight="1" spans="1:10">
      <c r="A9" s="156" t="s">
        <v>20</v>
      </c>
      <c r="B9" s="76">
        <f>SUM(B10:B15)</f>
        <v>145527</v>
      </c>
      <c r="C9" s="76">
        <f>SUM(C10:C15)</f>
        <v>47292</v>
      </c>
      <c r="D9" s="157">
        <f t="shared" si="1"/>
        <v>32.5</v>
      </c>
      <c r="E9" s="76">
        <f>F9-B9</f>
        <v>-59205</v>
      </c>
      <c r="F9" s="76">
        <v>86322</v>
      </c>
      <c r="G9" s="76">
        <f>SUM(G10:G15)</f>
        <v>134748</v>
      </c>
      <c r="H9" s="158">
        <f t="shared" si="0"/>
        <v>-48426</v>
      </c>
      <c r="I9" s="157">
        <f>H9/G9*100</f>
        <v>-35.94</v>
      </c>
      <c r="J9" s="129"/>
    </row>
    <row r="10" ht="22.9" customHeight="1" spans="1:10">
      <c r="A10" s="156" t="s">
        <v>21</v>
      </c>
      <c r="B10" s="76">
        <v>30472</v>
      </c>
      <c r="C10" s="76">
        <v>25129</v>
      </c>
      <c r="D10" s="157">
        <f t="shared" si="1"/>
        <v>82.47</v>
      </c>
      <c r="E10" s="76"/>
      <c r="F10" s="76"/>
      <c r="G10" s="76">
        <v>27218</v>
      </c>
      <c r="H10" s="158"/>
      <c r="I10" s="157"/>
      <c r="J10" s="129"/>
    </row>
    <row r="11" ht="23.1" customHeight="1" spans="1:10">
      <c r="A11" s="156" t="s">
        <v>22</v>
      </c>
      <c r="B11" s="76">
        <v>6620</v>
      </c>
      <c r="C11" s="76">
        <v>5420</v>
      </c>
      <c r="D11" s="157">
        <f t="shared" si="1"/>
        <v>81.87</v>
      </c>
      <c r="E11" s="76"/>
      <c r="F11" s="76"/>
      <c r="G11" s="76">
        <v>7306</v>
      </c>
      <c r="H11" s="158"/>
      <c r="I11" s="157"/>
      <c r="J11" s="130"/>
    </row>
    <row r="12" ht="23.1" customHeight="1" spans="1:10">
      <c r="A12" s="156" t="s">
        <v>23</v>
      </c>
      <c r="B12" s="76">
        <v>3080</v>
      </c>
      <c r="C12" s="76">
        <v>1477</v>
      </c>
      <c r="D12" s="157">
        <f t="shared" si="1"/>
        <v>47.95</v>
      </c>
      <c r="E12" s="76"/>
      <c r="F12" s="76"/>
      <c r="G12" s="76">
        <v>2437</v>
      </c>
      <c r="H12" s="158"/>
      <c r="I12" s="157"/>
      <c r="J12" s="129"/>
    </row>
    <row r="13" ht="25.5" customHeight="1" spans="1:10">
      <c r="A13" s="156" t="s">
        <v>24</v>
      </c>
      <c r="B13" s="76">
        <v>62008</v>
      </c>
      <c r="C13" s="76">
        <v>-8892</v>
      </c>
      <c r="D13" s="157">
        <f t="shared" si="1"/>
        <v>-14.34</v>
      </c>
      <c r="E13" s="76"/>
      <c r="F13" s="76"/>
      <c r="G13" s="76">
        <v>62623</v>
      </c>
      <c r="H13" s="158"/>
      <c r="I13" s="157"/>
      <c r="J13" s="129"/>
    </row>
    <row r="14" ht="25.5" customHeight="1" spans="1:10">
      <c r="A14" s="156" t="s">
        <v>25</v>
      </c>
      <c r="B14" s="76">
        <v>19510</v>
      </c>
      <c r="C14" s="76">
        <v>8361</v>
      </c>
      <c r="D14" s="157">
        <f t="shared" si="1"/>
        <v>42.85</v>
      </c>
      <c r="E14" s="76"/>
      <c r="F14" s="76"/>
      <c r="G14" s="76">
        <v>14712</v>
      </c>
      <c r="H14" s="158"/>
      <c r="I14" s="157"/>
      <c r="J14" s="129"/>
    </row>
    <row r="15" ht="23.1" customHeight="1" spans="1:10">
      <c r="A15" s="156" t="s">
        <v>26</v>
      </c>
      <c r="B15" s="76">
        <v>23837</v>
      </c>
      <c r="C15" s="76">
        <v>15797</v>
      </c>
      <c r="D15" s="157">
        <f t="shared" si="1"/>
        <v>66.27</v>
      </c>
      <c r="E15" s="76"/>
      <c r="F15" s="76"/>
      <c r="G15" s="76">
        <v>20452</v>
      </c>
      <c r="H15" s="158"/>
      <c r="I15" s="157"/>
      <c r="J15" s="130"/>
    </row>
    <row r="16" ht="30.75" customHeight="1" spans="1:12">
      <c r="A16" s="152" t="s">
        <v>27</v>
      </c>
      <c r="B16" s="71">
        <f>SUM(B17,B20:B24)</f>
        <v>71626</v>
      </c>
      <c r="C16" s="71">
        <f>SUM(C17,C20:C24)</f>
        <v>48459</v>
      </c>
      <c r="D16" s="154">
        <f t="shared" si="1"/>
        <v>67.66</v>
      </c>
      <c r="E16" s="71">
        <f>F16-B16</f>
        <v>74884</v>
      </c>
      <c r="F16" s="71">
        <f>SUM(F17,F20:F24)</f>
        <v>146510</v>
      </c>
      <c r="G16" s="71">
        <f>SUM(G17,G20:G24)</f>
        <v>66320</v>
      </c>
      <c r="H16" s="155">
        <f t="shared" si="0"/>
        <v>80190</v>
      </c>
      <c r="I16" s="154">
        <f>H16/G16*100</f>
        <v>120.91</v>
      </c>
      <c r="J16" s="129"/>
      <c r="L16" s="135"/>
    </row>
    <row r="17" ht="26.25" customHeight="1" spans="1:10">
      <c r="A17" s="156" t="s">
        <v>28</v>
      </c>
      <c r="B17" s="76">
        <f>SUM(B18:B19)</f>
        <v>4988</v>
      </c>
      <c r="C17" s="76">
        <f>SUM(C18:C19)</f>
        <v>3889</v>
      </c>
      <c r="D17" s="157">
        <f t="shared" si="1"/>
        <v>77.97</v>
      </c>
      <c r="E17" s="76"/>
      <c r="F17" s="76">
        <f>SUM(F18:F19)</f>
        <v>4988</v>
      </c>
      <c r="G17" s="76">
        <f>SUM(G18:G19)</f>
        <v>5983</v>
      </c>
      <c r="H17" s="158">
        <f t="shared" si="0"/>
        <v>-995</v>
      </c>
      <c r="I17" s="157">
        <f>H17/G17*100</f>
        <v>-16.63</v>
      </c>
      <c r="J17" s="129"/>
    </row>
    <row r="18" ht="35.45" customHeight="1" spans="1:10">
      <c r="A18" s="159" t="s">
        <v>29</v>
      </c>
      <c r="B18" s="76">
        <v>2968</v>
      </c>
      <c r="C18" s="76">
        <v>2209</v>
      </c>
      <c r="D18" s="157">
        <f t="shared" si="1"/>
        <v>74.43</v>
      </c>
      <c r="E18" s="76"/>
      <c r="F18" s="76">
        <v>2968</v>
      </c>
      <c r="G18" s="76">
        <v>2749</v>
      </c>
      <c r="H18" s="158">
        <f t="shared" si="0"/>
        <v>219</v>
      </c>
      <c r="I18" s="157">
        <f>H18/G18*100</f>
        <v>7.97</v>
      </c>
      <c r="J18" s="129"/>
    </row>
    <row r="19" ht="25.5" customHeight="1" spans="1:10">
      <c r="A19" s="156" t="s">
        <v>30</v>
      </c>
      <c r="B19" s="76">
        <v>2020</v>
      </c>
      <c r="C19" s="76">
        <v>1680</v>
      </c>
      <c r="D19" s="157">
        <f t="shared" si="1"/>
        <v>83.17</v>
      </c>
      <c r="E19" s="76"/>
      <c r="F19" s="76">
        <v>2020</v>
      </c>
      <c r="G19" s="76">
        <v>3234</v>
      </c>
      <c r="H19" s="158">
        <f t="shared" ref="H19:H24" si="2">F19-G19</f>
        <v>-1214</v>
      </c>
      <c r="I19" s="157">
        <f t="shared" ref="I19:I24" si="3">H19/G19*100</f>
        <v>-37.54</v>
      </c>
      <c r="J19" s="129"/>
    </row>
    <row r="20" ht="24.75" customHeight="1" spans="1:10">
      <c r="A20" s="156" t="s">
        <v>31</v>
      </c>
      <c r="B20" s="76">
        <v>7442</v>
      </c>
      <c r="C20" s="76">
        <v>3070</v>
      </c>
      <c r="D20" s="157">
        <f t="shared" si="1"/>
        <v>41.25</v>
      </c>
      <c r="E20" s="76"/>
      <c r="F20" s="76">
        <f>7442+4000+180+150</f>
        <v>11772</v>
      </c>
      <c r="G20" s="76">
        <v>3161</v>
      </c>
      <c r="H20" s="158">
        <f t="shared" si="2"/>
        <v>8611</v>
      </c>
      <c r="I20" s="157">
        <f t="shared" si="3"/>
        <v>272.41</v>
      </c>
      <c r="J20" s="129"/>
    </row>
    <row r="21" ht="25.5" customHeight="1" spans="1:10">
      <c r="A21" s="156" t="s">
        <v>32</v>
      </c>
      <c r="B21" s="76">
        <v>4658</v>
      </c>
      <c r="C21" s="76">
        <v>9791</v>
      </c>
      <c r="D21" s="157">
        <f t="shared" si="1"/>
        <v>210.2</v>
      </c>
      <c r="E21" s="76"/>
      <c r="F21" s="76">
        <v>4658</v>
      </c>
      <c r="G21" s="76">
        <v>12337</v>
      </c>
      <c r="H21" s="158">
        <f t="shared" si="2"/>
        <v>-7679</v>
      </c>
      <c r="I21" s="157">
        <f t="shared" si="3"/>
        <v>-62.24</v>
      </c>
      <c r="J21" s="129"/>
    </row>
    <row r="22" s="135" customFormat="1" ht="23.1" customHeight="1" spans="1:10">
      <c r="A22" s="156" t="s">
        <v>33</v>
      </c>
      <c r="B22" s="76"/>
      <c r="C22" s="76"/>
      <c r="D22" s="157"/>
      <c r="E22" s="76"/>
      <c r="F22" s="76"/>
      <c r="G22" s="76">
        <v>0</v>
      </c>
      <c r="H22" s="158">
        <f t="shared" si="2"/>
        <v>0</v>
      </c>
      <c r="I22" s="157"/>
      <c r="J22" s="130"/>
    </row>
    <row r="23" ht="40.5" spans="1:10">
      <c r="A23" s="159" t="s">
        <v>34</v>
      </c>
      <c r="B23" s="76">
        <v>46652</v>
      </c>
      <c r="C23" s="76">
        <v>28445</v>
      </c>
      <c r="D23" s="157">
        <f t="shared" si="1"/>
        <v>60.97</v>
      </c>
      <c r="E23" s="76"/>
      <c r="F23" s="76">
        <f>46652+70494</f>
        <v>117146</v>
      </c>
      <c r="G23" s="76">
        <v>32088</v>
      </c>
      <c r="H23" s="158">
        <f t="shared" si="2"/>
        <v>85058</v>
      </c>
      <c r="I23" s="157">
        <f t="shared" si="3"/>
        <v>265.08</v>
      </c>
      <c r="J23" s="173" t="s">
        <v>35</v>
      </c>
    </row>
    <row r="24" ht="22.5" customHeight="1" spans="1:10">
      <c r="A24" s="156" t="s">
        <v>36</v>
      </c>
      <c r="B24" s="76">
        <v>7886</v>
      </c>
      <c r="C24" s="76">
        <v>3264</v>
      </c>
      <c r="D24" s="157">
        <f t="shared" si="1"/>
        <v>41.39</v>
      </c>
      <c r="E24" s="76"/>
      <c r="F24" s="76">
        <f>7886+60</f>
        <v>7946</v>
      </c>
      <c r="G24" s="76">
        <v>12751</v>
      </c>
      <c r="H24" s="158">
        <f t="shared" si="2"/>
        <v>-4805</v>
      </c>
      <c r="I24" s="157">
        <f t="shared" si="3"/>
        <v>-37.68</v>
      </c>
      <c r="J24" s="129"/>
    </row>
    <row r="25" ht="28.9" customHeight="1" spans="1:10">
      <c r="A25" s="160" t="s">
        <v>37</v>
      </c>
      <c r="B25" s="71">
        <v>127133</v>
      </c>
      <c r="C25" s="161"/>
      <c r="D25" s="154"/>
      <c r="E25" s="71">
        <f>F25-B25</f>
        <v>12569</v>
      </c>
      <c r="F25" s="71">
        <f>B25+12569</f>
        <v>139702</v>
      </c>
      <c r="G25" s="161"/>
      <c r="H25" s="71"/>
      <c r="I25" s="154"/>
      <c r="J25" s="129" t="s">
        <v>38</v>
      </c>
    </row>
    <row r="26" ht="48.75" customHeight="1" spans="1:10">
      <c r="A26" s="160" t="s">
        <v>39</v>
      </c>
      <c r="B26" s="71">
        <v>155000</v>
      </c>
      <c r="C26" s="161"/>
      <c r="D26" s="154"/>
      <c r="E26" s="71">
        <f t="shared" ref="E26:E40" si="4">F26-B26</f>
        <v>-2743</v>
      </c>
      <c r="F26" s="71">
        <f>127257+15000+10000</f>
        <v>152257</v>
      </c>
      <c r="G26" s="161"/>
      <c r="H26" s="71"/>
      <c r="I26" s="154"/>
      <c r="J26" s="173" t="s">
        <v>40</v>
      </c>
    </row>
    <row r="27" ht="40.5" spans="1:10">
      <c r="A27" s="160" t="s">
        <v>41</v>
      </c>
      <c r="B27" s="71">
        <v>100000</v>
      </c>
      <c r="C27" s="161"/>
      <c r="D27" s="154"/>
      <c r="E27" s="71">
        <f t="shared" si="4"/>
        <v>-15000</v>
      </c>
      <c r="F27" s="71">
        <f>100000-15000</f>
        <v>85000</v>
      </c>
      <c r="G27" s="161"/>
      <c r="H27" s="71"/>
      <c r="I27" s="154"/>
      <c r="J27" s="173" t="s">
        <v>42</v>
      </c>
    </row>
    <row r="28" ht="27" spans="1:10">
      <c r="A28" s="160" t="s">
        <v>43</v>
      </c>
      <c r="B28" s="71"/>
      <c r="C28" s="161"/>
      <c r="D28" s="154"/>
      <c r="E28" s="71">
        <f t="shared" si="4"/>
        <v>17549</v>
      </c>
      <c r="F28" s="71">
        <v>17549</v>
      </c>
      <c r="G28" s="161"/>
      <c r="H28" s="71"/>
      <c r="I28" s="154"/>
      <c r="J28" s="173" t="s">
        <v>44</v>
      </c>
    </row>
    <row r="29" ht="22.9" customHeight="1" spans="1:10">
      <c r="A29" s="160" t="s">
        <v>45</v>
      </c>
      <c r="B29" s="71"/>
      <c r="C29" s="161"/>
      <c r="D29" s="154"/>
      <c r="E29" s="71">
        <f t="shared" si="4"/>
        <v>0</v>
      </c>
      <c r="F29" s="71"/>
      <c r="G29" s="161"/>
      <c r="H29" s="71"/>
      <c r="I29" s="154"/>
      <c r="J29" s="173"/>
    </row>
    <row r="30" ht="22.9" customHeight="1" spans="1:10">
      <c r="A30" s="160" t="s">
        <v>46</v>
      </c>
      <c r="B30" s="71"/>
      <c r="C30" s="161"/>
      <c r="D30" s="154"/>
      <c r="E30" s="71">
        <f t="shared" si="4"/>
        <v>0</v>
      </c>
      <c r="F30" s="71"/>
      <c r="G30" s="161"/>
      <c r="H30" s="71"/>
      <c r="I30" s="154"/>
      <c r="J30" s="173"/>
    </row>
    <row r="31" ht="36" customHeight="1" spans="1:10">
      <c r="A31" s="160" t="s">
        <v>47</v>
      </c>
      <c r="B31" s="71">
        <v>29321</v>
      </c>
      <c r="C31" s="161"/>
      <c r="D31" s="154"/>
      <c r="E31" s="71">
        <f t="shared" si="4"/>
        <v>26095</v>
      </c>
      <c r="F31" s="71">
        <v>55416</v>
      </c>
      <c r="G31" s="161"/>
      <c r="H31" s="71"/>
      <c r="I31" s="154"/>
      <c r="J31" s="173" t="s">
        <v>48</v>
      </c>
    </row>
    <row r="32" ht="22.5" customHeight="1" spans="1:10">
      <c r="A32" s="160" t="s">
        <v>49</v>
      </c>
      <c r="B32" s="71"/>
      <c r="C32" s="161"/>
      <c r="D32" s="154"/>
      <c r="E32" s="71">
        <f t="shared" si="4"/>
        <v>1006</v>
      </c>
      <c r="F32" s="71">
        <v>1006</v>
      </c>
      <c r="G32" s="161"/>
      <c r="H32" s="71"/>
      <c r="I32" s="154"/>
      <c r="J32" s="173" t="s">
        <v>50</v>
      </c>
    </row>
    <row r="33" ht="22.9" customHeight="1" spans="1:10">
      <c r="A33" s="160" t="s">
        <v>51</v>
      </c>
      <c r="B33" s="71">
        <v>142108</v>
      </c>
      <c r="C33" s="161"/>
      <c r="D33" s="154"/>
      <c r="E33" s="71">
        <f t="shared" si="4"/>
        <v>0</v>
      </c>
      <c r="F33" s="71">
        <v>142108</v>
      </c>
      <c r="G33" s="161"/>
      <c r="H33" s="71"/>
      <c r="I33" s="154"/>
      <c r="J33" s="173"/>
    </row>
    <row r="34" ht="28.5" customHeight="1" spans="1:10">
      <c r="A34" s="162" t="s">
        <v>52</v>
      </c>
      <c r="B34" s="71">
        <f>SUM(B7,B25:B33)</f>
        <v>770715</v>
      </c>
      <c r="C34" s="71"/>
      <c r="D34" s="71"/>
      <c r="E34" s="71">
        <f>SUM(E7,E25:E33)</f>
        <v>55155</v>
      </c>
      <c r="F34" s="71">
        <f>SUM(F7,F25:F33)</f>
        <v>825870</v>
      </c>
      <c r="G34" s="71"/>
      <c r="H34" s="71"/>
      <c r="I34" s="154"/>
      <c r="J34" s="174"/>
    </row>
    <row r="35" ht="22.9" customHeight="1" spans="1:10">
      <c r="A35" s="152" t="s">
        <v>53</v>
      </c>
      <c r="B35" s="71">
        <v>18526</v>
      </c>
      <c r="C35" s="71"/>
      <c r="D35" s="154"/>
      <c r="E35" s="71">
        <f t="shared" si="4"/>
        <v>544</v>
      </c>
      <c r="F35" s="71">
        <f>18526+544</f>
        <v>19070</v>
      </c>
      <c r="G35" s="71"/>
      <c r="H35" s="71"/>
      <c r="I35" s="154"/>
      <c r="J35" s="129" t="s">
        <v>54</v>
      </c>
    </row>
    <row r="36" ht="29.25" customHeight="1" spans="1:10">
      <c r="A36" s="152" t="s">
        <v>55</v>
      </c>
      <c r="B36" s="71">
        <f>SUM(B37,B52,B53,B54)</f>
        <v>610081</v>
      </c>
      <c r="C36" s="71"/>
      <c r="D36" s="154"/>
      <c r="E36" s="71">
        <f t="shared" si="4"/>
        <v>56411</v>
      </c>
      <c r="F36" s="71">
        <f>SUM(F37,F52,F53,F54)</f>
        <v>666492</v>
      </c>
      <c r="G36" s="71"/>
      <c r="H36" s="71"/>
      <c r="I36" s="154"/>
      <c r="J36" s="175"/>
    </row>
    <row r="37" ht="33" customHeight="1" spans="1:11">
      <c r="A37" s="163" t="s">
        <v>56</v>
      </c>
      <c r="B37" s="71">
        <f>B38+B39</f>
        <v>355081</v>
      </c>
      <c r="C37" s="71"/>
      <c r="D37" s="154"/>
      <c r="E37" s="71">
        <f t="shared" si="4"/>
        <v>56605</v>
      </c>
      <c r="F37" s="71">
        <f>F38+F39</f>
        <v>411686</v>
      </c>
      <c r="G37" s="71"/>
      <c r="H37" s="71"/>
      <c r="I37" s="154"/>
      <c r="J37" s="129" t="s">
        <v>57</v>
      </c>
      <c r="K37" s="176"/>
    </row>
    <row r="38" ht="29.25" customHeight="1" spans="1:10">
      <c r="A38" s="164" t="s">
        <v>58</v>
      </c>
      <c r="B38" s="71">
        <v>165155</v>
      </c>
      <c r="C38" s="71"/>
      <c r="D38" s="154"/>
      <c r="E38" s="71">
        <f t="shared" si="4"/>
        <v>0</v>
      </c>
      <c r="F38" s="71">
        <v>165155</v>
      </c>
      <c r="G38" s="71"/>
      <c r="H38" s="71"/>
      <c r="I38" s="154"/>
      <c r="J38" s="129"/>
    </row>
    <row r="39" ht="24" customHeight="1" spans="1:10">
      <c r="A39" s="164" t="s">
        <v>59</v>
      </c>
      <c r="B39" s="71">
        <f>SUM(B40:B51)</f>
        <v>189926</v>
      </c>
      <c r="C39" s="71"/>
      <c r="D39" s="154"/>
      <c r="E39" s="71">
        <f t="shared" si="4"/>
        <v>56605</v>
      </c>
      <c r="F39" s="71">
        <f>SUM(F40:F51)</f>
        <v>246531</v>
      </c>
      <c r="G39" s="71"/>
      <c r="H39" s="71"/>
      <c r="I39" s="154"/>
      <c r="J39" s="129"/>
    </row>
    <row r="40" ht="36.75" customHeight="1" spans="1:10">
      <c r="A40" s="165" t="s">
        <v>60</v>
      </c>
      <c r="B40" s="76">
        <v>76248</v>
      </c>
      <c r="C40" s="76"/>
      <c r="D40" s="157"/>
      <c r="E40" s="76">
        <f t="shared" si="4"/>
        <v>-14802</v>
      </c>
      <c r="F40" s="76">
        <f>76248-14802</f>
        <v>61446</v>
      </c>
      <c r="G40" s="76"/>
      <c r="H40" s="76"/>
      <c r="I40" s="157"/>
      <c r="J40" s="129" t="s">
        <v>61</v>
      </c>
    </row>
    <row r="41" ht="67.5" spans="1:10">
      <c r="A41" s="166" t="s">
        <v>62</v>
      </c>
      <c r="B41" s="76">
        <v>5700</v>
      </c>
      <c r="C41" s="71"/>
      <c r="D41" s="157"/>
      <c r="E41" s="76">
        <f t="shared" ref="E41:E52" si="5">F41-B41</f>
        <v>66407</v>
      </c>
      <c r="F41" s="76">
        <f>5700+66407</f>
        <v>72107</v>
      </c>
      <c r="G41" s="71"/>
      <c r="H41" s="76"/>
      <c r="I41" s="157"/>
      <c r="J41" s="177" t="s">
        <v>63</v>
      </c>
    </row>
    <row r="42" ht="22.9" customHeight="1" spans="1:10">
      <c r="A42" s="165" t="s">
        <v>64</v>
      </c>
      <c r="B42" s="76">
        <v>3500</v>
      </c>
      <c r="C42" s="71"/>
      <c r="D42" s="157"/>
      <c r="E42" s="76">
        <f t="shared" si="5"/>
        <v>0</v>
      </c>
      <c r="F42" s="76">
        <v>3500</v>
      </c>
      <c r="G42" s="71"/>
      <c r="H42" s="76"/>
      <c r="I42" s="157"/>
      <c r="J42" s="129"/>
    </row>
    <row r="43" ht="22.9" customHeight="1" spans="1:10">
      <c r="A43" s="165" t="s">
        <v>65</v>
      </c>
      <c r="B43" s="76">
        <v>1500</v>
      </c>
      <c r="C43" s="71"/>
      <c r="D43" s="157"/>
      <c r="E43" s="76">
        <f t="shared" si="5"/>
        <v>0</v>
      </c>
      <c r="F43" s="76">
        <v>1500</v>
      </c>
      <c r="G43" s="71"/>
      <c r="H43" s="76"/>
      <c r="I43" s="157"/>
      <c r="J43" s="129"/>
    </row>
    <row r="44" ht="27" spans="1:10">
      <c r="A44" s="166" t="s">
        <v>66</v>
      </c>
      <c r="B44" s="76">
        <v>35800</v>
      </c>
      <c r="C44" s="71"/>
      <c r="D44" s="157"/>
      <c r="E44" s="76">
        <f t="shared" si="5"/>
        <v>0</v>
      </c>
      <c r="F44" s="76">
        <v>35800</v>
      </c>
      <c r="G44" s="71"/>
      <c r="H44" s="76"/>
      <c r="I44" s="157"/>
      <c r="J44" s="129"/>
    </row>
    <row r="45" ht="27" spans="1:10">
      <c r="A45" s="166" t="s">
        <v>67</v>
      </c>
      <c r="B45" s="76">
        <v>5900</v>
      </c>
      <c r="C45" s="71"/>
      <c r="D45" s="157"/>
      <c r="E45" s="76">
        <f t="shared" si="5"/>
        <v>0</v>
      </c>
      <c r="F45" s="76">
        <v>5900</v>
      </c>
      <c r="G45" s="71"/>
      <c r="H45" s="76"/>
      <c r="I45" s="157"/>
      <c r="J45" s="129"/>
    </row>
    <row r="46" ht="22.9" customHeight="1" spans="1:10">
      <c r="A46" s="165" t="s">
        <v>68</v>
      </c>
      <c r="B46" s="76">
        <v>600</v>
      </c>
      <c r="C46" s="71"/>
      <c r="D46" s="157"/>
      <c r="E46" s="76">
        <f t="shared" si="5"/>
        <v>0</v>
      </c>
      <c r="F46" s="76">
        <v>600</v>
      </c>
      <c r="G46" s="71"/>
      <c r="H46" s="76"/>
      <c r="I46" s="157"/>
      <c r="J46" s="129"/>
    </row>
    <row r="47" ht="22.9" customHeight="1" spans="1:10">
      <c r="A47" s="165" t="s">
        <v>69</v>
      </c>
      <c r="B47" s="76">
        <v>3984</v>
      </c>
      <c r="C47" s="71"/>
      <c r="D47" s="157"/>
      <c r="E47" s="76">
        <f t="shared" si="5"/>
        <v>0</v>
      </c>
      <c r="F47" s="76">
        <v>3984</v>
      </c>
      <c r="G47" s="71"/>
      <c r="H47" s="76"/>
      <c r="I47" s="157"/>
      <c r="J47" s="129"/>
    </row>
    <row r="48" ht="22.9" customHeight="1" spans="1:10">
      <c r="A48" s="165" t="s">
        <v>70</v>
      </c>
      <c r="B48" s="76">
        <v>33000</v>
      </c>
      <c r="C48" s="71"/>
      <c r="D48" s="157"/>
      <c r="E48" s="76">
        <f t="shared" si="5"/>
        <v>1000</v>
      </c>
      <c r="F48" s="76">
        <f>33000+1000</f>
        <v>34000</v>
      </c>
      <c r="G48" s="71"/>
      <c r="H48" s="76"/>
      <c r="I48" s="157"/>
      <c r="J48" s="129"/>
    </row>
    <row r="49" ht="22.5" customHeight="1" spans="1:10">
      <c r="A49" s="165" t="s">
        <v>71</v>
      </c>
      <c r="B49" s="76">
        <v>6240</v>
      </c>
      <c r="C49" s="71"/>
      <c r="D49" s="157"/>
      <c r="E49" s="76">
        <f t="shared" si="5"/>
        <v>0</v>
      </c>
      <c r="F49" s="76">
        <v>6240</v>
      </c>
      <c r="G49" s="71"/>
      <c r="H49" s="76"/>
      <c r="I49" s="157"/>
      <c r="J49" s="129"/>
    </row>
    <row r="50" ht="22.5" customHeight="1" spans="1:10">
      <c r="A50" s="165" t="s">
        <v>72</v>
      </c>
      <c r="B50" s="76">
        <v>1796</v>
      </c>
      <c r="C50" s="71"/>
      <c r="D50" s="157"/>
      <c r="E50" s="76">
        <f t="shared" si="5"/>
        <v>0</v>
      </c>
      <c r="F50" s="76">
        <v>1796</v>
      </c>
      <c r="G50" s="71"/>
      <c r="H50" s="76"/>
      <c r="I50" s="157"/>
      <c r="J50" s="129"/>
    </row>
    <row r="51" ht="22.5" customHeight="1" spans="1:10">
      <c r="A51" s="165" t="s">
        <v>73</v>
      </c>
      <c r="B51" s="76">
        <v>15658</v>
      </c>
      <c r="C51" s="71"/>
      <c r="D51" s="157"/>
      <c r="E51" s="76">
        <f t="shared" si="5"/>
        <v>4000</v>
      </c>
      <c r="F51" s="76">
        <f>15658+4000</f>
        <v>19658</v>
      </c>
      <c r="G51" s="71"/>
      <c r="H51" s="76"/>
      <c r="I51" s="157"/>
      <c r="J51" s="178"/>
    </row>
    <row r="52" ht="32.25" customHeight="1" spans="1:10">
      <c r="A52" s="163" t="s">
        <v>74</v>
      </c>
      <c r="B52" s="71"/>
      <c r="C52" s="71"/>
      <c r="D52" s="154"/>
      <c r="E52" s="71">
        <f t="shared" si="5"/>
        <v>17549</v>
      </c>
      <c r="F52" s="71">
        <v>17549</v>
      </c>
      <c r="G52" s="71"/>
      <c r="H52" s="71"/>
      <c r="I52" s="154"/>
      <c r="J52" s="129" t="s">
        <v>75</v>
      </c>
    </row>
    <row r="53" ht="22.9" customHeight="1" spans="1:10">
      <c r="A53" s="164" t="s">
        <v>76</v>
      </c>
      <c r="B53" s="71">
        <v>155000</v>
      </c>
      <c r="C53" s="71"/>
      <c r="D53" s="154"/>
      <c r="E53" s="71">
        <f t="shared" ref="E53:E78" si="6">F53-B53</f>
        <v>-2743</v>
      </c>
      <c r="F53" s="71">
        <f>F26</f>
        <v>152257</v>
      </c>
      <c r="G53" s="71"/>
      <c r="H53" s="71"/>
      <c r="I53" s="154"/>
      <c r="J53" s="129"/>
    </row>
    <row r="54" ht="22.9" customHeight="1" spans="1:10">
      <c r="A54" s="164" t="s">
        <v>77</v>
      </c>
      <c r="B54" s="71">
        <v>100000</v>
      </c>
      <c r="C54" s="71"/>
      <c r="D54" s="154"/>
      <c r="E54" s="71">
        <f t="shared" si="6"/>
        <v>-15000</v>
      </c>
      <c r="F54" s="71">
        <f>100000-15000</f>
        <v>85000</v>
      </c>
      <c r="G54" s="71"/>
      <c r="H54" s="71"/>
      <c r="I54" s="154"/>
      <c r="J54" s="129"/>
    </row>
    <row r="55" ht="22.5" customHeight="1" spans="1:10">
      <c r="A55" s="152" t="s">
        <v>78</v>
      </c>
      <c r="B55" s="71">
        <v>142108</v>
      </c>
      <c r="C55" s="71"/>
      <c r="D55" s="154"/>
      <c r="E55" s="71">
        <f t="shared" si="6"/>
        <v>-1800</v>
      </c>
      <c r="F55" s="71">
        <f>142108-1800</f>
        <v>140308</v>
      </c>
      <c r="G55" s="71"/>
      <c r="H55" s="71"/>
      <c r="I55" s="154"/>
      <c r="J55" s="129"/>
    </row>
    <row r="56" ht="22.5" customHeight="1" spans="1:10">
      <c r="A56" s="162" t="s">
        <v>79</v>
      </c>
      <c r="B56" s="167">
        <f>B34-B35-B36-B55</f>
        <v>0</v>
      </c>
      <c r="C56" s="167"/>
      <c r="D56" s="168"/>
      <c r="E56" s="167">
        <f>E34-E35-E36-E55</f>
        <v>0</v>
      </c>
      <c r="F56" s="167">
        <f>F34-F35-F36-F55</f>
        <v>0</v>
      </c>
      <c r="G56" s="167"/>
      <c r="H56" s="167"/>
      <c r="I56" s="168"/>
      <c r="J56" s="129"/>
    </row>
    <row r="57" ht="40.5" spans="1:10">
      <c r="A57" s="152" t="s">
        <v>80</v>
      </c>
      <c r="B57" s="71">
        <f>SUM(B58:B60)</f>
        <v>113500</v>
      </c>
      <c r="C57" s="71">
        <f>SUM(C58:C60)</f>
        <v>25242</v>
      </c>
      <c r="D57" s="154">
        <f>C57/B57*100</f>
        <v>22.24</v>
      </c>
      <c r="E57" s="71">
        <f>F57-B57</f>
        <v>3280</v>
      </c>
      <c r="F57" s="71">
        <f>SUM(F58:F60)</f>
        <v>116780</v>
      </c>
      <c r="G57" s="71">
        <v>90557</v>
      </c>
      <c r="H57" s="155">
        <f>F57-G57</f>
        <v>26223</v>
      </c>
      <c r="I57" s="154">
        <f>H57/G57*100</f>
        <v>28.96</v>
      </c>
      <c r="J57" s="129" t="s">
        <v>81</v>
      </c>
    </row>
    <row r="58" ht="33.6" customHeight="1" spans="1:10">
      <c r="A58" s="156" t="s">
        <v>82</v>
      </c>
      <c r="B58" s="76">
        <v>90000</v>
      </c>
      <c r="C58" s="76">
        <v>23328</v>
      </c>
      <c r="D58" s="157">
        <f>C58/B58*100</f>
        <v>25.92</v>
      </c>
      <c r="E58" s="76">
        <f t="shared" si="6"/>
        <v>-46007</v>
      </c>
      <c r="F58" s="76">
        <f>90000-25000-20000-1007</f>
        <v>43993</v>
      </c>
      <c r="G58" s="76">
        <v>85057</v>
      </c>
      <c r="H58" s="76"/>
      <c r="I58" s="157"/>
      <c r="J58" s="179"/>
    </row>
    <row r="59" ht="27" spans="1:10">
      <c r="A59" s="156" t="s">
        <v>83</v>
      </c>
      <c r="B59" s="76">
        <v>20000</v>
      </c>
      <c r="C59" s="76"/>
      <c r="D59" s="157"/>
      <c r="E59" s="76">
        <f t="shared" si="6"/>
        <v>47777</v>
      </c>
      <c r="F59" s="76">
        <f>18276+17501+27500+4500</f>
        <v>67777</v>
      </c>
      <c r="G59" s="76"/>
      <c r="H59" s="76"/>
      <c r="I59" s="157"/>
      <c r="J59" s="179" t="s">
        <v>84</v>
      </c>
    </row>
    <row r="60" ht="27.75" customHeight="1" spans="1:10">
      <c r="A60" s="156" t="s">
        <v>85</v>
      </c>
      <c r="B60" s="76">
        <v>3500</v>
      </c>
      <c r="C60" s="76">
        <v>1914</v>
      </c>
      <c r="D60" s="157">
        <f>C60/B60*100</f>
        <v>54.69</v>
      </c>
      <c r="E60" s="76">
        <f t="shared" si="6"/>
        <v>1510</v>
      </c>
      <c r="F60" s="76">
        <f>3500+1110+400</f>
        <v>5010</v>
      </c>
      <c r="G60" s="76">
        <v>5500</v>
      </c>
      <c r="H60" s="76"/>
      <c r="I60" s="157"/>
      <c r="J60" s="129" t="s">
        <v>86</v>
      </c>
    </row>
    <row r="61" ht="27" spans="1:10">
      <c r="A61" s="160" t="s">
        <v>41</v>
      </c>
      <c r="B61" s="71"/>
      <c r="C61" s="161"/>
      <c r="D61" s="154"/>
      <c r="E61" s="71">
        <f t="shared" si="6"/>
        <v>5500</v>
      </c>
      <c r="F61" s="71">
        <v>5500</v>
      </c>
      <c r="G61" s="161"/>
      <c r="H61" s="71"/>
      <c r="I61" s="154"/>
      <c r="J61" s="173" t="s">
        <v>87</v>
      </c>
    </row>
    <row r="62" ht="94.5" spans="1:10">
      <c r="A62" s="152" t="s">
        <v>88</v>
      </c>
      <c r="B62" s="76"/>
      <c r="C62" s="76"/>
      <c r="D62" s="157"/>
      <c r="E62" s="71">
        <f t="shared" si="6"/>
        <v>152000</v>
      </c>
      <c r="F62" s="71">
        <v>152000</v>
      </c>
      <c r="G62" s="71">
        <v>76600</v>
      </c>
      <c r="H62" s="76"/>
      <c r="I62" s="157"/>
      <c r="J62" s="129" t="s">
        <v>89</v>
      </c>
    </row>
    <row r="63" ht="22.9" customHeight="1" spans="1:10">
      <c r="A63" s="160" t="s">
        <v>51</v>
      </c>
      <c r="B63" s="71">
        <v>9878</v>
      </c>
      <c r="C63" s="161"/>
      <c r="D63" s="154"/>
      <c r="E63" s="71">
        <f t="shared" si="6"/>
        <v>0</v>
      </c>
      <c r="F63" s="71">
        <v>9878</v>
      </c>
      <c r="G63" s="161"/>
      <c r="H63" s="71"/>
      <c r="I63" s="154"/>
      <c r="J63" s="173"/>
    </row>
    <row r="64" ht="28.5" customHeight="1" spans="1:10">
      <c r="A64" s="162" t="s">
        <v>90</v>
      </c>
      <c r="B64" s="71">
        <f>B58+B59+B60+B62+B61+B63</f>
        <v>123378</v>
      </c>
      <c r="C64" s="71"/>
      <c r="D64" s="71"/>
      <c r="E64" s="71">
        <f>E58+E59+E60+E62+E61+E63</f>
        <v>160780</v>
      </c>
      <c r="F64" s="71">
        <f>F58+F59+F60+F62+F61+F63</f>
        <v>284158</v>
      </c>
      <c r="G64" s="71"/>
      <c r="H64" s="71"/>
      <c r="I64" s="154"/>
      <c r="J64" s="129"/>
    </row>
    <row r="65" ht="32.25" customHeight="1" spans="1:10">
      <c r="A65" s="164" t="s">
        <v>91</v>
      </c>
      <c r="B65" s="71">
        <v>175</v>
      </c>
      <c r="C65" s="71"/>
      <c r="D65" s="154"/>
      <c r="E65" s="71">
        <f t="shared" si="6"/>
        <v>0</v>
      </c>
      <c r="F65" s="71">
        <v>175</v>
      </c>
      <c r="G65" s="71"/>
      <c r="H65" s="71"/>
      <c r="I65" s="154"/>
      <c r="J65" s="129" t="s">
        <v>54</v>
      </c>
    </row>
    <row r="66" ht="25.5" customHeight="1" spans="1:10">
      <c r="A66" s="164" t="s">
        <v>92</v>
      </c>
      <c r="B66" s="71">
        <v>84287</v>
      </c>
      <c r="C66" s="71"/>
      <c r="D66" s="71"/>
      <c r="E66" s="71">
        <f t="shared" si="6"/>
        <v>-21823</v>
      </c>
      <c r="F66" s="71">
        <f>SUM(F67:F70)</f>
        <v>62464</v>
      </c>
      <c r="G66" s="71"/>
      <c r="H66" s="71"/>
      <c r="I66" s="154"/>
      <c r="J66" s="129"/>
    </row>
    <row r="67" ht="27" spans="1:10">
      <c r="A67" s="164" t="s">
        <v>93</v>
      </c>
      <c r="B67" s="71">
        <v>36787</v>
      </c>
      <c r="C67" s="71"/>
      <c r="D67" s="154"/>
      <c r="E67" s="71">
        <f t="shared" si="6"/>
        <v>-1823</v>
      </c>
      <c r="F67" s="71">
        <f>36787+7177-9000</f>
        <v>34964</v>
      </c>
      <c r="G67" s="71"/>
      <c r="H67" s="167"/>
      <c r="I67" s="168"/>
      <c r="J67" s="129" t="s">
        <v>94</v>
      </c>
    </row>
    <row r="68" ht="27" customHeight="1" spans="1:10">
      <c r="A68" s="164" t="s">
        <v>95</v>
      </c>
      <c r="B68" s="71"/>
      <c r="C68" s="71"/>
      <c r="D68" s="154"/>
      <c r="E68" s="71">
        <f t="shared" si="6"/>
        <v>0</v>
      </c>
      <c r="F68" s="71"/>
      <c r="G68" s="71"/>
      <c r="H68" s="167"/>
      <c r="I68" s="168"/>
      <c r="J68" s="129"/>
    </row>
    <row r="69" ht="27" customHeight="1" spans="1:10">
      <c r="A69" s="164" t="s">
        <v>96</v>
      </c>
      <c r="B69" s="71">
        <v>2500</v>
      </c>
      <c r="C69" s="71"/>
      <c r="D69" s="154"/>
      <c r="E69" s="71">
        <f t="shared" si="6"/>
        <v>0</v>
      </c>
      <c r="F69" s="71">
        <v>2500</v>
      </c>
      <c r="G69" s="71"/>
      <c r="H69" s="167"/>
      <c r="I69" s="168"/>
      <c r="J69" s="129" t="s">
        <v>97</v>
      </c>
    </row>
    <row r="70" ht="25.5" customHeight="1" spans="1:10">
      <c r="A70" s="164" t="s">
        <v>98</v>
      </c>
      <c r="B70" s="71">
        <v>45000</v>
      </c>
      <c r="C70" s="71"/>
      <c r="D70" s="154"/>
      <c r="E70" s="71">
        <f t="shared" si="6"/>
        <v>-20000</v>
      </c>
      <c r="F70" s="71">
        <v>25000</v>
      </c>
      <c r="G70" s="71"/>
      <c r="H70" s="167"/>
      <c r="I70" s="168"/>
      <c r="J70" s="129"/>
    </row>
    <row r="71" ht="22.9" customHeight="1" spans="1:10">
      <c r="A71" s="164" t="s">
        <v>99</v>
      </c>
      <c r="B71" s="71"/>
      <c r="C71" s="71"/>
      <c r="D71" s="154"/>
      <c r="E71" s="71">
        <f t="shared" si="6"/>
        <v>5500</v>
      </c>
      <c r="F71" s="71">
        <v>5500</v>
      </c>
      <c r="G71" s="71"/>
      <c r="H71" s="71"/>
      <c r="I71" s="154"/>
      <c r="J71" s="129"/>
    </row>
    <row r="72" ht="25.5" customHeight="1" spans="1:10">
      <c r="A72" s="164" t="s">
        <v>100</v>
      </c>
      <c r="B72" s="71"/>
      <c r="C72" s="71"/>
      <c r="D72" s="154"/>
      <c r="E72" s="71">
        <f t="shared" si="6"/>
        <v>152000</v>
      </c>
      <c r="F72" s="71">
        <v>152000</v>
      </c>
      <c r="G72" s="71"/>
      <c r="H72" s="167"/>
      <c r="I72" s="168"/>
      <c r="J72" s="129"/>
    </row>
    <row r="73" ht="94.5" spans="1:10">
      <c r="A73" s="164" t="s">
        <v>101</v>
      </c>
      <c r="B73" s="71">
        <v>29038</v>
      </c>
      <c r="C73" s="71"/>
      <c r="D73" s="71"/>
      <c r="E73" s="71">
        <f t="shared" si="6"/>
        <v>25103</v>
      </c>
      <c r="F73" s="71">
        <f>F64-F65-F66-F72-F71-F74</f>
        <v>54141</v>
      </c>
      <c r="G73" s="71"/>
      <c r="H73" s="167"/>
      <c r="I73" s="168"/>
      <c r="J73" s="129" t="s">
        <v>102</v>
      </c>
    </row>
    <row r="74" ht="22.9" customHeight="1" spans="1:10">
      <c r="A74" s="152" t="s">
        <v>78</v>
      </c>
      <c r="B74" s="71">
        <v>9878</v>
      </c>
      <c r="C74" s="161"/>
      <c r="D74" s="154"/>
      <c r="E74" s="71">
        <f t="shared" si="6"/>
        <v>0</v>
      </c>
      <c r="F74" s="71">
        <v>9878</v>
      </c>
      <c r="G74" s="71"/>
      <c r="H74" s="71"/>
      <c r="I74" s="154"/>
      <c r="J74" s="129"/>
    </row>
    <row r="75" ht="27.75" customHeight="1" spans="1:10">
      <c r="A75" s="162" t="s">
        <v>103</v>
      </c>
      <c r="B75" s="167">
        <f>B64-B65-B66-B71-B72-B73-B74</f>
        <v>0</v>
      </c>
      <c r="C75" s="167"/>
      <c r="D75" s="167"/>
      <c r="E75" s="167">
        <f>E64-E65-E66-E71-E72-E73-E74</f>
        <v>0</v>
      </c>
      <c r="F75" s="167">
        <f>F64-F65-F66-F71-F72-F73-F74</f>
        <v>0</v>
      </c>
      <c r="G75" s="167"/>
      <c r="H75" s="167"/>
      <c r="I75" s="168"/>
      <c r="J75" s="184"/>
    </row>
    <row r="76" ht="40.5" spans="1:10">
      <c r="A76" s="164" t="s">
        <v>104</v>
      </c>
      <c r="B76" s="167">
        <f>B77+B78</f>
        <v>283</v>
      </c>
      <c r="C76" s="167">
        <f>C77+C78</f>
        <v>455</v>
      </c>
      <c r="D76" s="154">
        <f>C76/B76*100</f>
        <v>160.78</v>
      </c>
      <c r="E76" s="71">
        <f t="shared" si="6"/>
        <v>992</v>
      </c>
      <c r="F76" s="167">
        <f>F77+F78</f>
        <v>1275</v>
      </c>
      <c r="G76" s="167">
        <v>969</v>
      </c>
      <c r="H76" s="155">
        <f>F76-G76</f>
        <v>306</v>
      </c>
      <c r="I76" s="154">
        <f>H76/G76*100</f>
        <v>31.58</v>
      </c>
      <c r="J76" s="129" t="s">
        <v>105</v>
      </c>
    </row>
    <row r="77" ht="54" spans="1:10">
      <c r="A77" s="165" t="s">
        <v>106</v>
      </c>
      <c r="B77" s="180">
        <v>103</v>
      </c>
      <c r="C77" s="180">
        <v>285</v>
      </c>
      <c r="D77" s="157">
        <f>C77/B77*100</f>
        <v>276.7</v>
      </c>
      <c r="E77" s="76">
        <f t="shared" si="6"/>
        <v>702</v>
      </c>
      <c r="F77" s="180">
        <f>280+170+170+180+5</f>
        <v>805</v>
      </c>
      <c r="G77" s="180">
        <v>769</v>
      </c>
      <c r="H77" s="180"/>
      <c r="I77" s="185"/>
      <c r="J77" s="179" t="s">
        <v>107</v>
      </c>
    </row>
    <row r="78" ht="26.25" customHeight="1" spans="1:10">
      <c r="A78" s="165" t="s">
        <v>108</v>
      </c>
      <c r="B78" s="180">
        <v>180</v>
      </c>
      <c r="C78" s="180">
        <v>170</v>
      </c>
      <c r="D78" s="157">
        <f>C78/B78*100</f>
        <v>94.44</v>
      </c>
      <c r="E78" s="76">
        <f t="shared" si="6"/>
        <v>290</v>
      </c>
      <c r="F78" s="180">
        <f>300+170</f>
        <v>470</v>
      </c>
      <c r="G78" s="180">
        <v>200</v>
      </c>
      <c r="H78" s="180"/>
      <c r="I78" s="185"/>
      <c r="J78" s="179" t="s">
        <v>109</v>
      </c>
    </row>
    <row r="79" ht="24.95" customHeight="1" spans="1:10">
      <c r="A79" s="165" t="s">
        <v>110</v>
      </c>
      <c r="B79" s="180"/>
      <c r="C79" s="180"/>
      <c r="D79" s="157"/>
      <c r="E79" s="76"/>
      <c r="F79" s="180"/>
      <c r="G79" s="180"/>
      <c r="H79" s="180"/>
      <c r="I79" s="185"/>
      <c r="J79" s="184"/>
    </row>
    <row r="80" ht="24.95" customHeight="1" spans="1:10">
      <c r="A80" s="164" t="s">
        <v>111</v>
      </c>
      <c r="B80" s="167"/>
      <c r="C80" s="167"/>
      <c r="D80" s="167"/>
      <c r="E80" s="71">
        <f>F80-B80</f>
        <v>0</v>
      </c>
      <c r="F80" s="167"/>
      <c r="G80" s="167"/>
      <c r="H80" s="167"/>
      <c r="I80" s="168"/>
      <c r="J80" s="184"/>
    </row>
    <row r="81" ht="24.95" customHeight="1" spans="1:10">
      <c r="A81" s="164" t="s">
        <v>101</v>
      </c>
      <c r="B81" s="167">
        <v>283</v>
      </c>
      <c r="C81" s="167"/>
      <c r="D81" s="167"/>
      <c r="E81" s="71">
        <f>F81-B81</f>
        <v>992</v>
      </c>
      <c r="F81" s="167">
        <f>F76</f>
        <v>1275</v>
      </c>
      <c r="G81" s="167"/>
      <c r="H81" s="167"/>
      <c r="I81" s="168"/>
      <c r="J81" s="184"/>
    </row>
    <row r="82" ht="24.95" customHeight="1" spans="1:10">
      <c r="A82" s="181" t="s">
        <v>112</v>
      </c>
      <c r="B82" s="182">
        <v>0</v>
      </c>
      <c r="C82" s="182"/>
      <c r="D82" s="182"/>
      <c r="E82" s="182">
        <f>F82-B82</f>
        <v>0</v>
      </c>
      <c r="F82" s="182">
        <f>F76-F81</f>
        <v>0</v>
      </c>
      <c r="G82" s="182"/>
      <c r="H82" s="182"/>
      <c r="I82" s="186"/>
      <c r="J82" s="187"/>
    </row>
    <row r="83" ht="13.5" customHeight="1" spans="1:10">
      <c r="A83" s="183"/>
      <c r="B83" s="183"/>
      <c r="C83" s="183"/>
      <c r="D83" s="183"/>
      <c r="E83" s="183"/>
      <c r="F83" s="183"/>
      <c r="G83" s="183"/>
      <c r="H83" s="183"/>
      <c r="I83" s="183"/>
      <c r="J83" s="183"/>
    </row>
  </sheetData>
  <mergeCells count="11">
    <mergeCell ref="A2:J2"/>
    <mergeCell ref="H4:I4"/>
    <mergeCell ref="C5:D5"/>
    <mergeCell ref="H5:I5"/>
    <mergeCell ref="A83:J83"/>
    <mergeCell ref="A5:A6"/>
    <mergeCell ref="B5:B6"/>
    <mergeCell ref="E5:E6"/>
    <mergeCell ref="F5:F6"/>
    <mergeCell ref="G5:G6"/>
    <mergeCell ref="J5:J6"/>
  </mergeCells>
  <printOptions horizontalCentered="1"/>
  <pageMargins left="0.590277777777778" right="0.511805555555556" top="0.511805555555556" bottom="0.393055555555556" header="0.511805555555556" footer="0.196527777777778"/>
  <pageSetup paperSize="9" scale="84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view="pageBreakPreview" zoomScale="130" zoomScaleNormal="100" workbookViewId="0">
      <pane xSplit="1" ySplit="5" topLeftCell="B6" activePane="bottomRight" state="frozen"/>
      <selection/>
      <selection pane="topRight"/>
      <selection pane="bottomLeft"/>
      <selection pane="bottomRight" activeCell="B13" sqref="B13"/>
    </sheetView>
  </sheetViews>
  <sheetFormatPr defaultColWidth="9" defaultRowHeight="14.25" outlineLevelCol="2"/>
  <cols>
    <col min="1" max="1" width="36" style="61" customWidth="1"/>
    <col min="2" max="2" width="11.625" style="61" customWidth="1"/>
    <col min="3" max="3" width="35.125" style="61" customWidth="1"/>
    <col min="4" max="16384" width="9" style="61"/>
  </cols>
  <sheetData>
    <row r="1" spans="1:1">
      <c r="A1" s="61" t="s">
        <v>113</v>
      </c>
    </row>
    <row r="2" ht="27.75" customHeight="1" spans="1:3">
      <c r="A2" s="62" t="s">
        <v>114</v>
      </c>
      <c r="B2" s="62"/>
      <c r="C2" s="62"/>
    </row>
    <row r="3" ht="13.5" customHeight="1" spans="1:3">
      <c r="A3" s="118"/>
      <c r="B3" s="118"/>
      <c r="C3" s="118"/>
    </row>
    <row r="4" ht="20.25" customHeight="1" spans="1:3">
      <c r="A4" s="119" t="s">
        <v>115</v>
      </c>
      <c r="B4" s="120"/>
      <c r="C4" s="121" t="s">
        <v>116</v>
      </c>
    </row>
    <row r="5" ht="48" customHeight="1" spans="1:3">
      <c r="A5" s="122" t="s">
        <v>117</v>
      </c>
      <c r="B5" s="123" t="s">
        <v>7</v>
      </c>
      <c r="C5" s="124" t="s">
        <v>118</v>
      </c>
    </row>
    <row r="6" ht="26.25" customHeight="1" spans="1:3">
      <c r="A6" s="125" t="s">
        <v>119</v>
      </c>
      <c r="B6" s="126">
        <f>SUM(B7:B16)</f>
        <v>12569</v>
      </c>
      <c r="C6" s="127"/>
    </row>
    <row r="7" ht="26.25" customHeight="1" spans="1:3">
      <c r="A7" s="128" t="s">
        <v>120</v>
      </c>
      <c r="B7" s="76">
        <v>3833</v>
      </c>
      <c r="C7" s="129"/>
    </row>
    <row r="8" ht="26.25" customHeight="1" spans="1:3">
      <c r="A8" s="128" t="s">
        <v>121</v>
      </c>
      <c r="B8" s="76">
        <v>1765</v>
      </c>
      <c r="C8" s="130"/>
    </row>
    <row r="9" ht="26.25" customHeight="1" spans="1:3">
      <c r="A9" s="128" t="s">
        <v>122</v>
      </c>
      <c r="B9" s="76">
        <v>2624</v>
      </c>
      <c r="C9" s="129"/>
    </row>
    <row r="10" ht="26.25" customHeight="1" spans="1:3">
      <c r="A10" s="128" t="s">
        <v>123</v>
      </c>
      <c r="B10" s="76">
        <v>847</v>
      </c>
      <c r="C10" s="129"/>
    </row>
    <row r="11" ht="26.25" customHeight="1" spans="1:3">
      <c r="A11" s="128" t="s">
        <v>124</v>
      </c>
      <c r="B11" s="76">
        <v>4259</v>
      </c>
      <c r="C11" s="129"/>
    </row>
    <row r="12" ht="26.25" customHeight="1" spans="1:3">
      <c r="A12" s="128" t="s">
        <v>125</v>
      </c>
      <c r="B12" s="76">
        <v>74</v>
      </c>
      <c r="C12" s="129"/>
    </row>
    <row r="13" ht="27.75" customHeight="1" spans="1:3">
      <c r="A13" s="128" t="s">
        <v>126</v>
      </c>
      <c r="B13" s="76">
        <v>100</v>
      </c>
      <c r="C13" s="129"/>
    </row>
    <row r="14" ht="27.75" customHeight="1" spans="1:3">
      <c r="A14" s="128" t="s">
        <v>127</v>
      </c>
      <c r="B14" s="76">
        <v>-333</v>
      </c>
      <c r="C14" s="129"/>
    </row>
    <row r="15" ht="27.75" customHeight="1" spans="1:3">
      <c r="A15" s="128" t="s">
        <v>128</v>
      </c>
      <c r="B15" s="76">
        <v>-600</v>
      </c>
      <c r="C15" s="129"/>
    </row>
    <row r="16" ht="21" customHeight="1" spans="1:3">
      <c r="A16" s="131"/>
      <c r="B16" s="132"/>
      <c r="C16" s="133"/>
    </row>
  </sheetData>
  <mergeCells count="1">
    <mergeCell ref="A2:C2"/>
  </mergeCells>
  <printOptions horizontalCentered="1"/>
  <pageMargins left="0.393055555555556" right="0.393055555555556" top="0.786805555555556" bottom="0.393055555555556" header="0.511805555555556" footer="0.196527777777778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3"/>
  <sheetViews>
    <sheetView zoomScaleSheetLayoutView="115" workbookViewId="0">
      <pane ySplit="4" topLeftCell="A5" activePane="bottomLeft" state="frozen"/>
      <selection/>
      <selection pane="bottomLeft" activeCell="E41" sqref="E41"/>
    </sheetView>
  </sheetViews>
  <sheetFormatPr defaultColWidth="9" defaultRowHeight="14.25" outlineLevelCol="2"/>
  <cols>
    <col min="1" max="1" width="38.25" style="88" customWidth="1"/>
    <col min="2" max="2" width="9.625" style="89" customWidth="1"/>
    <col min="3" max="3" width="46.875" style="89" customWidth="1"/>
    <col min="4" max="16384" width="9" style="89"/>
  </cols>
  <sheetData>
    <row r="1" spans="1:1">
      <c r="A1" s="88" t="s">
        <v>129</v>
      </c>
    </row>
    <row r="2" ht="28.15" customHeight="1" spans="1:3">
      <c r="A2" s="90" t="s">
        <v>130</v>
      </c>
      <c r="B2" s="90"/>
      <c r="C2" s="90"/>
    </row>
    <row r="3" s="87" customFormat="1" ht="24" customHeight="1" spans="1:3">
      <c r="A3" s="91" t="s">
        <v>131</v>
      </c>
      <c r="B3" s="91"/>
      <c r="C3" s="92" t="s">
        <v>132</v>
      </c>
    </row>
    <row r="4" ht="34.5" customHeight="1" spans="1:3">
      <c r="A4" s="93" t="s">
        <v>133</v>
      </c>
      <c r="B4" s="94" t="s">
        <v>7</v>
      </c>
      <c r="C4" s="95" t="s">
        <v>134</v>
      </c>
    </row>
    <row r="5" s="30" customFormat="1" ht="27" customHeight="1" spans="1:3">
      <c r="A5" s="96" t="s">
        <v>135</v>
      </c>
      <c r="B5" s="97">
        <f>B6+B86</f>
        <v>72354</v>
      </c>
      <c r="C5" s="44" t="s">
        <v>136</v>
      </c>
    </row>
    <row r="6" s="30" customFormat="1" ht="30.75" customHeight="1" spans="1:3">
      <c r="A6" s="98" t="s">
        <v>137</v>
      </c>
      <c r="B6" s="97">
        <f>SUM(B7,B38,B80,B82,B84)</f>
        <v>88956</v>
      </c>
      <c r="C6" s="44" t="s">
        <v>138</v>
      </c>
    </row>
    <row r="7" s="30" customFormat="1" ht="30.75" customHeight="1" spans="1:3">
      <c r="A7" s="98" t="s">
        <v>139</v>
      </c>
      <c r="B7" s="97">
        <f>SUM(B8:B36)</f>
        <v>25833</v>
      </c>
      <c r="C7" s="99" t="s">
        <v>140</v>
      </c>
    </row>
    <row r="8" s="30" customFormat="1" ht="30" customHeight="1" spans="1:3">
      <c r="A8" s="45" t="s">
        <v>141</v>
      </c>
      <c r="B8" s="43">
        <v>7000</v>
      </c>
      <c r="C8" s="100"/>
    </row>
    <row r="9" s="30" customFormat="1" ht="42.75" spans="1:3">
      <c r="A9" s="45" t="s">
        <v>142</v>
      </c>
      <c r="B9" s="43">
        <v>4303</v>
      </c>
      <c r="C9" s="100"/>
    </row>
    <row r="10" s="30" customFormat="1" ht="28.5" spans="1:3">
      <c r="A10" s="45" t="s">
        <v>143</v>
      </c>
      <c r="B10" s="43">
        <v>1980</v>
      </c>
      <c r="C10" s="100"/>
    </row>
    <row r="11" s="30" customFormat="1" ht="30" customHeight="1" spans="1:3">
      <c r="A11" s="45" t="s">
        <v>144</v>
      </c>
      <c r="B11" s="43">
        <v>1822</v>
      </c>
      <c r="C11" s="44"/>
    </row>
    <row r="12" s="30" customFormat="1" ht="30" customHeight="1" spans="1:3">
      <c r="A12" s="45" t="s">
        <v>145</v>
      </c>
      <c r="B12" s="43">
        <v>1500</v>
      </c>
      <c r="C12" s="44"/>
    </row>
    <row r="13" s="30" customFormat="1" ht="30" customHeight="1" spans="1:3">
      <c r="A13" s="101" t="s">
        <v>146</v>
      </c>
      <c r="B13" s="43">
        <v>1400</v>
      </c>
      <c r="C13" s="102"/>
    </row>
    <row r="14" s="30" customFormat="1" ht="42.75" spans="1:3">
      <c r="A14" s="101" t="s">
        <v>147</v>
      </c>
      <c r="B14" s="43">
        <v>1200</v>
      </c>
      <c r="C14" s="102"/>
    </row>
    <row r="15" s="30" customFormat="1" ht="30" customHeight="1" spans="1:3">
      <c r="A15" s="101" t="s">
        <v>148</v>
      </c>
      <c r="B15" s="43">
        <v>1100</v>
      </c>
      <c r="C15" s="102"/>
    </row>
    <row r="16" s="30" customFormat="1" ht="42.75" spans="1:3">
      <c r="A16" s="101" t="s">
        <v>149</v>
      </c>
      <c r="B16" s="43">
        <v>913</v>
      </c>
      <c r="C16" s="102"/>
    </row>
    <row r="17" s="30" customFormat="1" ht="30" customHeight="1" spans="1:3">
      <c r="A17" s="101" t="s">
        <v>150</v>
      </c>
      <c r="B17" s="43">
        <v>800</v>
      </c>
      <c r="C17" s="102"/>
    </row>
    <row r="18" s="30" customFormat="1" ht="30" customHeight="1" spans="1:3">
      <c r="A18" s="101" t="s">
        <v>151</v>
      </c>
      <c r="B18" s="43">
        <v>609</v>
      </c>
      <c r="C18" s="102"/>
    </row>
    <row r="19" s="30" customFormat="1" ht="30" customHeight="1" spans="1:3">
      <c r="A19" s="101" t="s">
        <v>152</v>
      </c>
      <c r="B19" s="43">
        <v>559</v>
      </c>
      <c r="C19" s="102"/>
    </row>
    <row r="20" s="30" customFormat="1" ht="30" customHeight="1" spans="1:3">
      <c r="A20" s="101" t="s">
        <v>153</v>
      </c>
      <c r="B20" s="43">
        <v>300</v>
      </c>
      <c r="C20" s="102"/>
    </row>
    <row r="21" s="30" customFormat="1" ht="30" customHeight="1" spans="1:3">
      <c r="A21" s="45" t="s">
        <v>154</v>
      </c>
      <c r="B21" s="43">
        <v>260</v>
      </c>
      <c r="C21" s="100"/>
    </row>
    <row r="22" s="30" customFormat="1" ht="30" customHeight="1" spans="1:3">
      <c r="A22" s="45" t="s">
        <v>155</v>
      </c>
      <c r="B22" s="43">
        <v>230</v>
      </c>
      <c r="C22" s="100"/>
    </row>
    <row r="23" s="30" customFormat="1" ht="30" customHeight="1" spans="1:3">
      <c r="A23" s="45" t="s">
        <v>156</v>
      </c>
      <c r="B23" s="43">
        <v>200</v>
      </c>
      <c r="C23" s="44"/>
    </row>
    <row r="24" s="30" customFormat="1" ht="30" customHeight="1" spans="1:3">
      <c r="A24" s="101" t="s">
        <v>157</v>
      </c>
      <c r="B24" s="43">
        <v>200</v>
      </c>
      <c r="C24" s="102"/>
    </row>
    <row r="25" s="30" customFormat="1" ht="30" customHeight="1" spans="1:3">
      <c r="A25" s="101" t="s">
        <v>158</v>
      </c>
      <c r="B25" s="43">
        <v>200</v>
      </c>
      <c r="C25" s="102"/>
    </row>
    <row r="26" s="30" customFormat="1" ht="30" customHeight="1" spans="1:3">
      <c r="A26" s="103" t="s">
        <v>159</v>
      </c>
      <c r="B26" s="43">
        <v>180</v>
      </c>
      <c r="C26" s="104"/>
    </row>
    <row r="27" s="30" customFormat="1" ht="30" customHeight="1" spans="1:3">
      <c r="A27" s="45" t="s">
        <v>160</v>
      </c>
      <c r="B27" s="43">
        <v>150</v>
      </c>
      <c r="C27" s="100"/>
    </row>
    <row r="28" s="30" customFormat="1" ht="30" customHeight="1" spans="1:3">
      <c r="A28" s="45" t="s">
        <v>161</v>
      </c>
      <c r="B28" s="43">
        <v>145</v>
      </c>
      <c r="C28" s="100"/>
    </row>
    <row r="29" s="30" customFormat="1" ht="30" customHeight="1" spans="1:3">
      <c r="A29" s="45" t="s">
        <v>162</v>
      </c>
      <c r="B29" s="43">
        <v>134</v>
      </c>
      <c r="C29" s="100"/>
    </row>
    <row r="30" s="30" customFormat="1" ht="30" customHeight="1" spans="1:3">
      <c r="A30" s="45" t="s">
        <v>163</v>
      </c>
      <c r="B30" s="43">
        <v>129</v>
      </c>
      <c r="C30" s="100"/>
    </row>
    <row r="31" s="30" customFormat="1" ht="30" customHeight="1" spans="1:3">
      <c r="A31" s="101" t="s">
        <v>164</v>
      </c>
      <c r="B31" s="43">
        <v>109</v>
      </c>
      <c r="C31" s="102"/>
    </row>
    <row r="32" s="30" customFormat="1" ht="30" customHeight="1" spans="1:3">
      <c r="A32" s="101" t="s">
        <v>165</v>
      </c>
      <c r="B32" s="43">
        <v>107</v>
      </c>
      <c r="C32" s="102"/>
    </row>
    <row r="33" s="30" customFormat="1" ht="30" customHeight="1" spans="1:3">
      <c r="A33" s="101" t="s">
        <v>166</v>
      </c>
      <c r="B33" s="43">
        <v>100</v>
      </c>
      <c r="C33" s="102"/>
    </row>
    <row r="34" s="30" customFormat="1" ht="30" customHeight="1" spans="1:3">
      <c r="A34" s="101" t="s">
        <v>167</v>
      </c>
      <c r="B34" s="43">
        <v>100</v>
      </c>
      <c r="C34" s="102"/>
    </row>
    <row r="35" s="30" customFormat="1" ht="28.5" spans="1:3">
      <c r="A35" s="101" t="s">
        <v>168</v>
      </c>
      <c r="B35" s="43">
        <v>90</v>
      </c>
      <c r="C35" s="102"/>
    </row>
    <row r="36" s="30" customFormat="1" ht="42.75" spans="1:3">
      <c r="A36" s="101" t="s">
        <v>169</v>
      </c>
      <c r="B36" s="43">
        <v>13</v>
      </c>
      <c r="C36" s="105"/>
    </row>
    <row r="37" s="30" customFormat="1" ht="12.95" customHeight="1" spans="1:3">
      <c r="A37" s="98"/>
      <c r="B37" s="97"/>
      <c r="C37" s="44"/>
    </row>
    <row r="38" s="30" customFormat="1" ht="38.25" customHeight="1" spans="1:3">
      <c r="A38" s="98" t="s">
        <v>170</v>
      </c>
      <c r="B38" s="97">
        <f>SUM(B39:B78)</f>
        <v>38588</v>
      </c>
      <c r="C38" s="44" t="s">
        <v>171</v>
      </c>
    </row>
    <row r="39" s="30" customFormat="1" ht="30" customHeight="1" spans="1:3">
      <c r="A39" s="42" t="s">
        <v>172</v>
      </c>
      <c r="B39" s="43">
        <v>6960</v>
      </c>
      <c r="C39" s="47" t="s">
        <v>173</v>
      </c>
    </row>
    <row r="40" s="30" customFormat="1" ht="30" customHeight="1" spans="1:3">
      <c r="A40" s="42" t="s">
        <v>174</v>
      </c>
      <c r="B40" s="43">
        <v>4000</v>
      </c>
      <c r="C40" s="47" t="s">
        <v>175</v>
      </c>
    </row>
    <row r="41" s="30" customFormat="1" ht="30" customHeight="1" spans="1:3">
      <c r="A41" s="42" t="s">
        <v>176</v>
      </c>
      <c r="B41" s="43">
        <v>1800</v>
      </c>
      <c r="C41" s="47"/>
    </row>
    <row r="42" s="30" customFormat="1" ht="30" customHeight="1" spans="1:3">
      <c r="A42" s="42" t="s">
        <v>177</v>
      </c>
      <c r="B42" s="43">
        <v>1500</v>
      </c>
      <c r="C42" s="47"/>
    </row>
    <row r="43" s="30" customFormat="1" ht="30" customHeight="1" spans="1:3">
      <c r="A43" s="42" t="s">
        <v>178</v>
      </c>
      <c r="B43" s="43">
        <v>1500</v>
      </c>
      <c r="C43" s="47"/>
    </row>
    <row r="44" s="30" customFormat="1" ht="36" customHeight="1" spans="1:3">
      <c r="A44" s="42" t="s">
        <v>179</v>
      </c>
      <c r="B44" s="43">
        <v>1500</v>
      </c>
      <c r="C44" s="47" t="s">
        <v>180</v>
      </c>
    </row>
    <row r="45" s="30" customFormat="1" ht="30" customHeight="1" spans="1:3">
      <c r="A45" s="42" t="s">
        <v>181</v>
      </c>
      <c r="B45" s="43">
        <v>1085</v>
      </c>
      <c r="C45" s="47" t="s">
        <v>173</v>
      </c>
    </row>
    <row r="46" s="30" customFormat="1" ht="33" customHeight="1" spans="1:3">
      <c r="A46" s="42" t="s">
        <v>182</v>
      </c>
      <c r="B46" s="43">
        <v>1000</v>
      </c>
      <c r="C46" s="47" t="s">
        <v>173</v>
      </c>
    </row>
    <row r="47" s="30" customFormat="1" ht="33.95" customHeight="1" spans="1:3">
      <c r="A47" s="42" t="s">
        <v>183</v>
      </c>
      <c r="B47" s="43">
        <v>1000</v>
      </c>
      <c r="C47" s="47"/>
    </row>
    <row r="48" s="30" customFormat="1" ht="30" customHeight="1" spans="1:3">
      <c r="A48" s="42" t="s">
        <v>184</v>
      </c>
      <c r="B48" s="43">
        <v>1000</v>
      </c>
      <c r="C48" s="47"/>
    </row>
    <row r="49" s="30" customFormat="1" ht="30" customHeight="1" spans="1:3">
      <c r="A49" s="42" t="s">
        <v>185</v>
      </c>
      <c r="B49" s="43">
        <v>949</v>
      </c>
      <c r="C49" s="47" t="s">
        <v>173</v>
      </c>
    </row>
    <row r="50" s="30" customFormat="1" ht="30" customHeight="1" spans="1:3">
      <c r="A50" s="42" t="s">
        <v>186</v>
      </c>
      <c r="B50" s="43">
        <v>750</v>
      </c>
      <c r="C50" s="47"/>
    </row>
    <row r="51" s="30" customFormat="1" ht="33" customHeight="1" spans="1:3">
      <c r="A51" s="42" t="s">
        <v>187</v>
      </c>
      <c r="B51" s="43">
        <v>602</v>
      </c>
      <c r="C51" s="47"/>
    </row>
    <row r="52" s="30" customFormat="1" ht="30" customHeight="1" spans="1:3">
      <c r="A52" s="42" t="s">
        <v>188</v>
      </c>
      <c r="B52" s="43">
        <v>600</v>
      </c>
      <c r="C52" s="47"/>
    </row>
    <row r="53" s="30" customFormat="1" ht="29.25" customHeight="1" spans="1:3">
      <c r="A53" s="45" t="s">
        <v>189</v>
      </c>
      <c r="B53" s="43">
        <v>500</v>
      </c>
      <c r="C53" s="44"/>
    </row>
    <row r="54" s="30" customFormat="1" ht="30" customHeight="1" spans="1:3">
      <c r="A54" s="42" t="s">
        <v>190</v>
      </c>
      <c r="B54" s="43">
        <v>473</v>
      </c>
      <c r="C54" s="47"/>
    </row>
    <row r="55" s="30" customFormat="1" ht="33.95" customHeight="1" spans="1:3">
      <c r="A55" s="42" t="s">
        <v>191</v>
      </c>
      <c r="B55" s="43">
        <v>297</v>
      </c>
      <c r="C55" s="47" t="s">
        <v>180</v>
      </c>
    </row>
    <row r="56" s="30" customFormat="1" ht="36" customHeight="1" spans="1:3">
      <c r="A56" s="42" t="s">
        <v>192</v>
      </c>
      <c r="B56" s="43">
        <v>235</v>
      </c>
      <c r="C56" s="47"/>
    </row>
    <row r="57" s="30" customFormat="1" ht="30" customHeight="1" spans="1:3">
      <c r="A57" s="42" t="s">
        <v>193</v>
      </c>
      <c r="B57" s="43">
        <v>220</v>
      </c>
      <c r="C57" s="47"/>
    </row>
    <row r="58" s="30" customFormat="1" ht="30" customHeight="1" spans="1:3">
      <c r="A58" s="42" t="s">
        <v>194</v>
      </c>
      <c r="B58" s="43">
        <v>215</v>
      </c>
      <c r="C58" s="47"/>
    </row>
    <row r="59" s="30" customFormat="1" ht="33.95" customHeight="1" spans="1:3">
      <c r="A59" s="42" t="s">
        <v>195</v>
      </c>
      <c r="B59" s="43">
        <v>209</v>
      </c>
      <c r="C59" s="47"/>
    </row>
    <row r="60" s="30" customFormat="1" ht="30" customHeight="1" spans="1:3">
      <c r="A60" s="42" t="s">
        <v>196</v>
      </c>
      <c r="B60" s="43">
        <v>200</v>
      </c>
      <c r="C60" s="47" t="s">
        <v>173</v>
      </c>
    </row>
    <row r="61" s="30" customFormat="1" ht="30" customHeight="1" spans="1:3">
      <c r="A61" s="42" t="s">
        <v>197</v>
      </c>
      <c r="B61" s="43">
        <v>200</v>
      </c>
      <c r="C61" s="47"/>
    </row>
    <row r="62" s="30" customFormat="1" ht="30" customHeight="1" spans="1:3">
      <c r="A62" s="42" t="s">
        <v>198</v>
      </c>
      <c r="B62" s="43">
        <v>200</v>
      </c>
      <c r="C62" s="47"/>
    </row>
    <row r="63" s="30" customFormat="1" ht="36" customHeight="1" spans="1:3">
      <c r="A63" s="42" t="s">
        <v>199</v>
      </c>
      <c r="B63" s="43">
        <v>193</v>
      </c>
      <c r="C63" s="47" t="s">
        <v>180</v>
      </c>
    </row>
    <row r="64" s="30" customFormat="1" ht="35.1" customHeight="1" spans="1:3">
      <c r="A64" s="42" t="s">
        <v>200</v>
      </c>
      <c r="B64" s="43">
        <v>160</v>
      </c>
      <c r="C64" s="47"/>
    </row>
    <row r="65" s="30" customFormat="1" ht="30" customHeight="1" spans="1:3">
      <c r="A65" s="42" t="s">
        <v>201</v>
      </c>
      <c r="B65" s="43">
        <v>149</v>
      </c>
      <c r="C65" s="47" t="s">
        <v>173</v>
      </c>
    </row>
    <row r="66" s="30" customFormat="1" ht="33.95" customHeight="1" spans="1:3">
      <c r="A66" s="42" t="s">
        <v>202</v>
      </c>
      <c r="B66" s="43">
        <v>120</v>
      </c>
      <c r="C66" s="47"/>
    </row>
    <row r="67" s="30" customFormat="1" ht="38.1" customHeight="1" spans="1:3">
      <c r="A67" s="42" t="s">
        <v>203</v>
      </c>
      <c r="B67" s="43">
        <v>113</v>
      </c>
      <c r="C67" s="47" t="s">
        <v>204</v>
      </c>
    </row>
    <row r="68" s="30" customFormat="1" ht="30" customHeight="1" spans="1:3">
      <c r="A68" s="42" t="s">
        <v>205</v>
      </c>
      <c r="B68" s="43">
        <v>100</v>
      </c>
      <c r="C68" s="47"/>
    </row>
    <row r="69" s="30" customFormat="1" ht="30" customHeight="1" spans="1:3">
      <c r="A69" s="42" t="s">
        <v>206</v>
      </c>
      <c r="B69" s="43">
        <v>100</v>
      </c>
      <c r="C69" s="47"/>
    </row>
    <row r="70" s="30" customFormat="1" ht="30" customHeight="1" spans="1:3">
      <c r="A70" s="42" t="s">
        <v>207</v>
      </c>
      <c r="B70" s="43">
        <v>100</v>
      </c>
      <c r="C70" s="47"/>
    </row>
    <row r="71" s="30" customFormat="1" ht="30" customHeight="1" spans="1:3">
      <c r="A71" s="42" t="s">
        <v>208</v>
      </c>
      <c r="B71" s="43">
        <v>100</v>
      </c>
      <c r="C71" s="47"/>
    </row>
    <row r="72" s="30" customFormat="1" ht="30" customHeight="1" spans="1:3">
      <c r="A72" s="42" t="s">
        <v>209</v>
      </c>
      <c r="B72" s="43">
        <v>100</v>
      </c>
      <c r="C72" s="47"/>
    </row>
    <row r="73" s="30" customFormat="1" ht="35.1" customHeight="1" spans="1:3">
      <c r="A73" s="42" t="s">
        <v>210</v>
      </c>
      <c r="B73" s="43">
        <v>100</v>
      </c>
      <c r="C73" s="47"/>
    </row>
    <row r="74" s="30" customFormat="1" ht="36" customHeight="1" spans="1:3">
      <c r="A74" s="42" t="s">
        <v>211</v>
      </c>
      <c r="B74" s="43">
        <v>50</v>
      </c>
      <c r="C74" s="47"/>
    </row>
    <row r="75" s="30" customFormat="1" ht="30" customHeight="1" spans="1:3">
      <c r="A75" s="42" t="s">
        <v>212</v>
      </c>
      <c r="B75" s="43">
        <v>50</v>
      </c>
      <c r="C75" s="47"/>
    </row>
    <row r="76" s="30" customFormat="1" ht="33" customHeight="1" spans="1:3">
      <c r="A76" s="42" t="s">
        <v>213</v>
      </c>
      <c r="B76" s="43">
        <v>17501</v>
      </c>
      <c r="C76" s="44"/>
    </row>
    <row r="77" s="30" customFormat="1" ht="29.25" customHeight="1" spans="1:3">
      <c r="A77" s="45" t="s">
        <v>214</v>
      </c>
      <c r="B77" s="43">
        <v>3000</v>
      </c>
      <c r="C77" s="44"/>
    </row>
    <row r="78" ht="24" customHeight="1" spans="1:3">
      <c r="A78" s="45" t="s">
        <v>215</v>
      </c>
      <c r="B78" s="43">
        <v>-10343</v>
      </c>
      <c r="C78" s="44" t="s">
        <v>216</v>
      </c>
    </row>
    <row r="79" s="30" customFormat="1" ht="24" customHeight="1" spans="1:3">
      <c r="A79" s="98"/>
      <c r="B79" s="97"/>
      <c r="C79" s="106"/>
    </row>
    <row r="80" s="30" customFormat="1" ht="240.95" customHeight="1" spans="1:3">
      <c r="A80" s="107" t="s">
        <v>217</v>
      </c>
      <c r="B80" s="108">
        <v>6986</v>
      </c>
      <c r="C80" s="109" t="s">
        <v>218</v>
      </c>
    </row>
    <row r="81" s="30" customFormat="1" ht="9" customHeight="1" spans="1:3">
      <c r="A81" s="45"/>
      <c r="B81" s="43"/>
      <c r="C81" s="110"/>
    </row>
    <row r="82" s="30" customFormat="1" ht="31.5" customHeight="1" spans="1:3">
      <c r="A82" s="98" t="s">
        <v>219</v>
      </c>
      <c r="B82" s="97">
        <v>17549</v>
      </c>
      <c r="C82" s="111" t="s">
        <v>220</v>
      </c>
    </row>
    <row r="83" s="30" customFormat="1" ht="9" customHeight="1" spans="1:3">
      <c r="A83" s="45"/>
      <c r="B83" s="43"/>
      <c r="C83" s="44"/>
    </row>
    <row r="84" s="30" customFormat="1" ht="21.75" customHeight="1" spans="1:3">
      <c r="A84" s="98" t="s">
        <v>221</v>
      </c>
      <c r="B84" s="97"/>
      <c r="C84" s="44"/>
    </row>
    <row r="85" s="30" customFormat="1" ht="9" customHeight="1" spans="1:3">
      <c r="A85" s="45"/>
      <c r="B85" s="43"/>
      <c r="C85" s="44"/>
    </row>
    <row r="86" s="30" customFormat="1" ht="21.75" customHeight="1" spans="1:3">
      <c r="A86" s="98" t="s">
        <v>222</v>
      </c>
      <c r="B86" s="97">
        <f>SUM(B87:B91)</f>
        <v>-16602</v>
      </c>
      <c r="C86" s="106"/>
    </row>
    <row r="87" s="30" customFormat="1" ht="25.5" customHeight="1" spans="1:3">
      <c r="A87" s="45" t="s">
        <v>223</v>
      </c>
      <c r="B87" s="43">
        <v>-260</v>
      </c>
      <c r="C87" s="44" t="s">
        <v>224</v>
      </c>
    </row>
    <row r="88" s="30" customFormat="1" ht="30.95" customHeight="1" spans="1:3">
      <c r="A88" s="45" t="s">
        <v>225</v>
      </c>
      <c r="B88" s="43">
        <v>-7336</v>
      </c>
      <c r="C88" s="44" t="s">
        <v>224</v>
      </c>
    </row>
    <row r="89" s="30" customFormat="1" ht="24" customHeight="1" spans="1:3">
      <c r="A89" s="45" t="s">
        <v>226</v>
      </c>
      <c r="B89" s="43">
        <v>-7206</v>
      </c>
      <c r="C89" s="44" t="s">
        <v>227</v>
      </c>
    </row>
    <row r="90" s="30" customFormat="1" ht="24" customHeight="1" spans="1:3">
      <c r="A90" s="112" t="s">
        <v>228</v>
      </c>
      <c r="B90" s="113">
        <v>-1800</v>
      </c>
      <c r="C90" s="114" t="s">
        <v>229</v>
      </c>
    </row>
    <row r="91" ht="24" customHeight="1" spans="1:3">
      <c r="A91" s="115" t="s">
        <v>230</v>
      </c>
      <c r="B91" s="116"/>
      <c r="C91" s="117"/>
    </row>
    <row r="92" ht="32.1" customHeight="1"/>
    <row r="93" ht="32.1" customHeight="1"/>
  </sheetData>
  <mergeCells count="1">
    <mergeCell ref="A2:C2"/>
  </mergeCells>
  <printOptions horizontalCentered="1"/>
  <pageMargins left="0.590277777777778" right="0.511805555555556" top="0.511805555555556" bottom="0.590277777777778" header="0.511805555555556" footer="0.196527777777778"/>
  <pageSetup paperSize="9" scale="90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A4" sqref="A4"/>
    </sheetView>
  </sheetViews>
  <sheetFormatPr defaultColWidth="9" defaultRowHeight="14.25" outlineLevelCol="2"/>
  <cols>
    <col min="1" max="1" width="38.5" style="61" customWidth="1"/>
    <col min="2" max="2" width="15.25" style="61" customWidth="1"/>
    <col min="3" max="3" width="27.625" style="61" customWidth="1"/>
    <col min="4" max="16384" width="9" style="61"/>
  </cols>
  <sheetData>
    <row r="1" spans="1:1">
      <c r="A1" s="61" t="s">
        <v>231</v>
      </c>
    </row>
    <row r="2" ht="27.75" customHeight="1" spans="1:3">
      <c r="A2" s="62" t="s">
        <v>232</v>
      </c>
      <c r="B2" s="62"/>
      <c r="C2" s="62"/>
    </row>
    <row r="3" customHeight="1" spans="1:3">
      <c r="A3" s="63"/>
      <c r="B3" s="63"/>
      <c r="C3" s="63"/>
    </row>
    <row r="4" ht="19.5" customHeight="1" spans="1:3">
      <c r="A4" s="64" t="s">
        <v>2</v>
      </c>
      <c r="B4" s="65"/>
      <c r="C4" s="66" t="s">
        <v>3</v>
      </c>
    </row>
    <row r="5" ht="29.25" customHeight="1" spans="1:3">
      <c r="A5" s="67" t="s">
        <v>117</v>
      </c>
      <c r="B5" s="68" t="s">
        <v>7</v>
      </c>
      <c r="C5" s="69" t="s">
        <v>118</v>
      </c>
    </row>
    <row r="6" ht="29.25" customHeight="1" spans="1:3">
      <c r="A6" s="70" t="s">
        <v>119</v>
      </c>
      <c r="B6" s="71">
        <f>B7</f>
        <v>544</v>
      </c>
      <c r="C6" s="72"/>
    </row>
    <row r="7" ht="29.25" customHeight="1" spans="1:3">
      <c r="A7" s="73" t="s">
        <v>233</v>
      </c>
      <c r="B7" s="71">
        <f>SUM(B8:B8)</f>
        <v>544</v>
      </c>
      <c r="C7" s="74"/>
    </row>
    <row r="8" ht="29.25" customHeight="1" spans="1:3">
      <c r="A8" s="75" t="s">
        <v>234</v>
      </c>
      <c r="B8" s="76">
        <f>SUM(B9:B12)</f>
        <v>544</v>
      </c>
      <c r="C8" s="77"/>
    </row>
    <row r="9" ht="29.25" customHeight="1" spans="1:3">
      <c r="A9" s="78" t="s">
        <v>235</v>
      </c>
      <c r="B9" s="79">
        <v>500</v>
      </c>
      <c r="C9" s="80" t="s">
        <v>236</v>
      </c>
    </row>
    <row r="10" ht="29.25" customHeight="1" spans="1:3">
      <c r="A10" s="78" t="s">
        <v>237</v>
      </c>
      <c r="B10" s="79">
        <v>38</v>
      </c>
      <c r="C10" s="80"/>
    </row>
    <row r="11" ht="29.25" customHeight="1" spans="1:3">
      <c r="A11" s="81" t="s">
        <v>238</v>
      </c>
      <c r="B11" s="82">
        <v>31</v>
      </c>
      <c r="C11" s="83"/>
    </row>
    <row r="12" ht="29.25" customHeight="1" spans="1:3">
      <c r="A12" s="84" t="s">
        <v>239</v>
      </c>
      <c r="B12" s="85">
        <v>-25</v>
      </c>
      <c r="C12" s="86"/>
    </row>
  </sheetData>
  <mergeCells count="1">
    <mergeCell ref="A2:C2"/>
  </mergeCells>
  <printOptions horizontalCentered="1"/>
  <pageMargins left="0.393055555555556" right="0.393055555555556" top="0.786805555555556" bottom="0.590277777777778" header="0.511805555555556" footer="0.393055555555556"/>
  <pageSetup paperSize="9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"/>
  <sheetViews>
    <sheetView workbookViewId="0">
      <pane ySplit="4" topLeftCell="A5" activePane="bottomLeft" state="frozen"/>
      <selection/>
      <selection pane="bottomLeft" activeCell="G5" sqref="G5"/>
    </sheetView>
  </sheetViews>
  <sheetFormatPr defaultColWidth="9" defaultRowHeight="14.25" outlineLevelCol="2"/>
  <cols>
    <col min="1" max="1" width="35.125" style="31" customWidth="1"/>
    <col min="2" max="2" width="10" style="32" customWidth="1"/>
    <col min="3" max="3" width="55" style="32" customWidth="1"/>
    <col min="4" max="16384" width="9" style="32"/>
  </cols>
  <sheetData>
    <row r="1" spans="1:1">
      <c r="A1" s="31" t="s">
        <v>240</v>
      </c>
    </row>
    <row r="2" ht="28.15" customHeight="1" spans="1:3">
      <c r="A2" s="33" t="s">
        <v>241</v>
      </c>
      <c r="B2" s="33"/>
      <c r="C2" s="33"/>
    </row>
    <row r="3" s="28" customFormat="1" ht="24" customHeight="1" spans="1:3">
      <c r="A3" s="34" t="s">
        <v>242</v>
      </c>
      <c r="B3" s="34"/>
      <c r="C3" s="34"/>
    </row>
    <row r="4" ht="34.5" customHeight="1" spans="1:3">
      <c r="A4" s="35" t="s">
        <v>133</v>
      </c>
      <c r="B4" s="36" t="s">
        <v>7</v>
      </c>
      <c r="C4" s="37" t="s">
        <v>134</v>
      </c>
    </row>
    <row r="5" s="29" customFormat="1" ht="30" customHeight="1" spans="1:3">
      <c r="A5" s="38" t="s">
        <v>135</v>
      </c>
      <c r="B5" s="39">
        <f>B6+B20</f>
        <v>-21823</v>
      </c>
      <c r="C5" s="40" t="s">
        <v>243</v>
      </c>
    </row>
    <row r="6" s="29" customFormat="1" ht="30.75" customHeight="1" spans="1:3">
      <c r="A6" s="41" t="s">
        <v>137</v>
      </c>
      <c r="B6" s="39">
        <f>SUM(B7,B16)</f>
        <v>7177</v>
      </c>
      <c r="C6" s="40" t="s">
        <v>244</v>
      </c>
    </row>
    <row r="7" s="29" customFormat="1" ht="30.75" customHeight="1" spans="1:3">
      <c r="A7" s="41" t="s">
        <v>245</v>
      </c>
      <c r="B7" s="39">
        <f>SUM(B8:B14)</f>
        <v>7177</v>
      </c>
      <c r="C7" s="40"/>
    </row>
    <row r="8" s="30" customFormat="1" ht="30" customHeight="1" spans="1:3">
      <c r="A8" s="42" t="s">
        <v>246</v>
      </c>
      <c r="B8" s="43">
        <v>2000</v>
      </c>
      <c r="C8" s="44"/>
    </row>
    <row r="9" s="30" customFormat="1" ht="29.25" customHeight="1" spans="1:3">
      <c r="A9" s="45" t="s">
        <v>247</v>
      </c>
      <c r="B9" s="43">
        <v>1617</v>
      </c>
      <c r="C9" s="46"/>
    </row>
    <row r="10" s="30" customFormat="1" ht="29.25" customHeight="1" spans="1:3">
      <c r="A10" s="42" t="s">
        <v>248</v>
      </c>
      <c r="B10" s="43">
        <v>1527</v>
      </c>
      <c r="C10" s="44"/>
    </row>
    <row r="11" s="30" customFormat="1" ht="29.25" customHeight="1" spans="1:3">
      <c r="A11" s="42" t="s">
        <v>249</v>
      </c>
      <c r="B11" s="43">
        <v>1000</v>
      </c>
      <c r="C11" s="47"/>
    </row>
    <row r="12" s="30" customFormat="1" ht="29.25" customHeight="1" spans="1:3">
      <c r="A12" s="42" t="s">
        <v>250</v>
      </c>
      <c r="B12" s="43">
        <v>718</v>
      </c>
      <c r="C12" s="47"/>
    </row>
    <row r="13" s="30" customFormat="1" ht="29.25" customHeight="1" spans="1:3">
      <c r="A13" s="42" t="s">
        <v>251</v>
      </c>
      <c r="B13" s="43">
        <v>165</v>
      </c>
      <c r="C13" s="44"/>
    </row>
    <row r="14" s="30" customFormat="1" ht="30" customHeight="1" spans="1:3">
      <c r="A14" s="42" t="s">
        <v>252</v>
      </c>
      <c r="B14" s="43">
        <v>150</v>
      </c>
      <c r="C14" s="47"/>
    </row>
    <row r="15" s="29" customFormat="1" ht="9.95" customHeight="1" spans="1:3">
      <c r="A15" s="41"/>
      <c r="B15" s="39"/>
      <c r="C15" s="40"/>
    </row>
    <row r="16" s="29" customFormat="1" ht="30.75" customHeight="1" spans="1:3">
      <c r="A16" s="41" t="s">
        <v>253</v>
      </c>
      <c r="B16" s="39">
        <f>SUM(B17:B17,B18)</f>
        <v>0</v>
      </c>
      <c r="C16" s="48"/>
    </row>
    <row r="17" s="29" customFormat="1" ht="30.75" customHeight="1" spans="1:3">
      <c r="A17" s="49" t="s">
        <v>254</v>
      </c>
      <c r="B17" s="50">
        <v>152000</v>
      </c>
      <c r="C17" s="40"/>
    </row>
    <row r="18" s="29" customFormat="1" ht="27.95" customHeight="1" spans="1:3">
      <c r="A18" s="49" t="s">
        <v>255</v>
      </c>
      <c r="B18" s="50">
        <v>-152000</v>
      </c>
      <c r="C18" s="51"/>
    </row>
    <row r="19" s="29" customFormat="1" ht="9.95" customHeight="1" spans="1:3">
      <c r="A19" s="52"/>
      <c r="B19" s="53"/>
      <c r="C19" s="54"/>
    </row>
    <row r="20" s="29" customFormat="1" ht="29.25" customHeight="1" spans="1:3">
      <c r="A20" s="41" t="s">
        <v>222</v>
      </c>
      <c r="B20" s="39">
        <f>SUM(B21:B24)</f>
        <v>-29000</v>
      </c>
      <c r="C20" s="55"/>
    </row>
    <row r="21" s="29" customFormat="1" ht="206.25" customHeight="1" spans="1:3">
      <c r="A21" s="52" t="s">
        <v>256</v>
      </c>
      <c r="B21" s="53">
        <v>-20000</v>
      </c>
      <c r="C21" s="54" t="s">
        <v>257</v>
      </c>
    </row>
    <row r="22" s="30" customFormat="1" ht="25.5" customHeight="1" spans="1:3">
      <c r="A22" s="45" t="s">
        <v>258</v>
      </c>
      <c r="B22" s="43">
        <v>-9000</v>
      </c>
      <c r="C22" s="44" t="s">
        <v>224</v>
      </c>
    </row>
    <row r="23" s="29" customFormat="1" ht="27" customHeight="1" spans="1:3">
      <c r="A23" s="49" t="s">
        <v>226</v>
      </c>
      <c r="B23" s="50"/>
      <c r="C23" s="40"/>
    </row>
    <row r="24" ht="27" customHeight="1" spans="1:3">
      <c r="A24" s="56" t="s">
        <v>259</v>
      </c>
      <c r="B24" s="57"/>
      <c r="C24" s="58"/>
    </row>
    <row r="25" ht="35.25" customHeight="1" spans="1:3">
      <c r="A25" s="59" t="s">
        <v>260</v>
      </c>
      <c r="B25" s="60"/>
      <c r="C25" s="60"/>
    </row>
    <row r="26" ht="32.1" customHeight="1"/>
    <row r="27" ht="32.1" customHeight="1"/>
  </sheetData>
  <mergeCells count="3">
    <mergeCell ref="A2:C2"/>
    <mergeCell ref="A3:C3"/>
    <mergeCell ref="A25:C25"/>
  </mergeCells>
  <printOptions horizontalCentered="1"/>
  <pageMargins left="0.590277777777778" right="0.511805555555556" top="0.511805555555556" bottom="0.590277777777778" header="0.511805555555556" footer="0.196527777777778"/>
  <pageSetup paperSize="9" scale="85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F26" sqref="F26"/>
    </sheetView>
  </sheetViews>
  <sheetFormatPr defaultColWidth="9" defaultRowHeight="14.25"/>
  <cols>
    <col min="1" max="1" width="52" style="2" customWidth="1"/>
    <col min="2" max="2" width="14.375" style="2" customWidth="1"/>
    <col min="3" max="3" width="12.25" style="2" customWidth="1"/>
    <col min="4" max="4" width="14.75" style="2" customWidth="1"/>
    <col min="5" max="5" width="14" style="2" customWidth="1"/>
    <col min="6" max="6" width="11.625" style="2" customWidth="1"/>
    <col min="7" max="7" width="14.625" style="2" customWidth="1"/>
    <col min="8" max="8" width="14.75" style="2" customWidth="1"/>
    <col min="9" max="9" width="11.75" style="2" customWidth="1"/>
    <col min="10" max="10" width="13.125" style="2" customWidth="1"/>
    <col min="11" max="16384" width="9" style="2"/>
  </cols>
  <sheetData>
    <row r="1" ht="15" spans="1:1">
      <c r="A1" s="3" t="s">
        <v>261</v>
      </c>
    </row>
    <row r="2" ht="29.1" customHeight="1" spans="1:10">
      <c r="A2" s="4" t="s">
        <v>262</v>
      </c>
      <c r="B2" s="4"/>
      <c r="C2" s="4"/>
      <c r="D2" s="4"/>
      <c r="E2" s="4"/>
      <c r="F2" s="4"/>
      <c r="G2" s="4"/>
      <c r="H2" s="4"/>
      <c r="I2" s="4"/>
      <c r="J2" s="4"/>
    </row>
    <row r="3" ht="12.6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18.75" customHeight="1" spans="1:10">
      <c r="A4" s="6" t="s">
        <v>2</v>
      </c>
      <c r="B4" s="7"/>
      <c r="C4" s="7"/>
      <c r="D4" s="7"/>
      <c r="E4" s="7"/>
      <c r="F4" s="7"/>
      <c r="G4" s="7"/>
      <c r="H4" s="7"/>
      <c r="I4" s="7"/>
      <c r="J4" s="27" t="s">
        <v>3</v>
      </c>
    </row>
    <row r="5" ht="18.75" customHeight="1" spans="1:10">
      <c r="A5" s="8" t="s">
        <v>263</v>
      </c>
      <c r="B5" s="9" t="s">
        <v>264</v>
      </c>
      <c r="C5" s="9"/>
      <c r="D5" s="9"/>
      <c r="E5" s="9"/>
      <c r="F5" s="9"/>
      <c r="G5" s="9" t="s">
        <v>265</v>
      </c>
      <c r="H5" s="9"/>
      <c r="I5" s="9"/>
      <c r="J5" s="9" t="s">
        <v>266</v>
      </c>
    </row>
    <row r="6" s="1" customFormat="1" ht="26.25" customHeight="1" spans="1:10">
      <c r="A6" s="8"/>
      <c r="B6" s="8" t="s">
        <v>267</v>
      </c>
      <c r="C6" s="8" t="s">
        <v>268</v>
      </c>
      <c r="D6" s="8" t="s">
        <v>269</v>
      </c>
      <c r="E6" s="8" t="s">
        <v>270</v>
      </c>
      <c r="F6" s="8" t="s">
        <v>271</v>
      </c>
      <c r="G6" s="8" t="s">
        <v>267</v>
      </c>
      <c r="H6" s="8" t="s">
        <v>272</v>
      </c>
      <c r="I6" s="8" t="s">
        <v>273</v>
      </c>
      <c r="J6" s="9"/>
    </row>
    <row r="7" ht="22.9" customHeight="1" spans="1:10">
      <c r="A7" s="10" t="s">
        <v>274</v>
      </c>
      <c r="B7" s="11">
        <f t="shared" ref="B7:I7" si="0">SUM(B8,B52)</f>
        <v>169549</v>
      </c>
      <c r="C7" s="11">
        <f t="shared" si="0"/>
        <v>7205.95</v>
      </c>
      <c r="D7" s="11">
        <f t="shared" si="0"/>
        <v>101359.45</v>
      </c>
      <c r="E7" s="11">
        <f t="shared" si="0"/>
        <v>60983.6</v>
      </c>
      <c r="F7" s="11">
        <f t="shared" si="0"/>
        <v>0</v>
      </c>
      <c r="G7" s="11">
        <f t="shared" si="0"/>
        <v>169549</v>
      </c>
      <c r="H7" s="11">
        <f t="shared" si="0"/>
        <v>169549</v>
      </c>
      <c r="I7" s="11">
        <f t="shared" si="0"/>
        <v>0</v>
      </c>
      <c r="J7" s="13"/>
    </row>
    <row r="8" ht="22.5" customHeight="1" spans="1:10">
      <c r="A8" s="12" t="s">
        <v>275</v>
      </c>
      <c r="B8" s="11">
        <f t="shared" ref="B8:I8" si="1">SUM(B9,B16,B18,B20,B22,B46,B48,B50)</f>
        <v>17549</v>
      </c>
      <c r="C8" s="11">
        <f t="shared" si="1"/>
        <v>7205.95</v>
      </c>
      <c r="D8" s="11">
        <f t="shared" si="1"/>
        <v>0</v>
      </c>
      <c r="E8" s="11">
        <f t="shared" si="1"/>
        <v>10343.05</v>
      </c>
      <c r="F8" s="11">
        <f t="shared" si="1"/>
        <v>0</v>
      </c>
      <c r="G8" s="11">
        <f t="shared" si="1"/>
        <v>17549</v>
      </c>
      <c r="H8" s="11">
        <f t="shared" si="1"/>
        <v>17549</v>
      </c>
      <c r="I8" s="11">
        <f t="shared" si="1"/>
        <v>0</v>
      </c>
      <c r="J8" s="13"/>
    </row>
    <row r="9" ht="29.25" customHeight="1" spans="1:10">
      <c r="A9" s="13" t="s">
        <v>276</v>
      </c>
      <c r="B9" s="11">
        <f t="shared" ref="B9:I9" si="2">SUM(B10:B15)</f>
        <v>6091.71</v>
      </c>
      <c r="C9" s="11">
        <f t="shared" si="2"/>
        <v>2857.66</v>
      </c>
      <c r="D9" s="11">
        <f t="shared" si="2"/>
        <v>0</v>
      </c>
      <c r="E9" s="11">
        <f t="shared" si="2"/>
        <v>3234.05</v>
      </c>
      <c r="F9" s="11">
        <f t="shared" si="2"/>
        <v>0</v>
      </c>
      <c r="G9" s="11">
        <f t="shared" si="2"/>
        <v>6091.71</v>
      </c>
      <c r="H9" s="11">
        <f t="shared" si="2"/>
        <v>6091.71</v>
      </c>
      <c r="I9" s="11">
        <f t="shared" si="2"/>
        <v>0</v>
      </c>
      <c r="J9" s="13"/>
    </row>
    <row r="10" ht="21.6" customHeight="1" spans="1:10">
      <c r="A10" s="14" t="s">
        <v>277</v>
      </c>
      <c r="B10" s="15">
        <f t="shared" ref="B10:B15" si="3">SUM(C10:F10)</f>
        <v>105</v>
      </c>
      <c r="C10" s="16">
        <v>105</v>
      </c>
      <c r="D10" s="15"/>
      <c r="E10" s="15"/>
      <c r="F10" s="15"/>
      <c r="G10" s="15">
        <f t="shared" ref="G10:G15" si="4">SUM(H10:I10)</f>
        <v>105</v>
      </c>
      <c r="H10" s="15">
        <f t="shared" ref="H10:H15" si="5">SUM(C10:E10)</f>
        <v>105</v>
      </c>
      <c r="I10" s="15">
        <f t="shared" ref="I10:I15" si="6">SUM(F10)</f>
        <v>0</v>
      </c>
      <c r="J10" s="17"/>
    </row>
    <row r="11" ht="21.6" customHeight="1" spans="1:10">
      <c r="A11" s="14" t="s">
        <v>278</v>
      </c>
      <c r="B11" s="15">
        <f t="shared" si="3"/>
        <v>200</v>
      </c>
      <c r="C11" s="16"/>
      <c r="D11" s="15"/>
      <c r="E11" s="15">
        <v>200</v>
      </c>
      <c r="F11" s="15"/>
      <c r="G11" s="15">
        <f t="shared" si="4"/>
        <v>200</v>
      </c>
      <c r="H11" s="15">
        <f t="shared" si="5"/>
        <v>200</v>
      </c>
      <c r="I11" s="15">
        <f t="shared" si="6"/>
        <v>0</v>
      </c>
      <c r="J11" s="17"/>
    </row>
    <row r="12" ht="21.6" customHeight="1" spans="1:10">
      <c r="A12" s="14" t="s">
        <v>279</v>
      </c>
      <c r="B12" s="15">
        <f t="shared" si="3"/>
        <v>949</v>
      </c>
      <c r="C12" s="16"/>
      <c r="D12" s="15"/>
      <c r="E12" s="15">
        <v>949</v>
      </c>
      <c r="F12" s="15"/>
      <c r="G12" s="15">
        <f t="shared" si="4"/>
        <v>949</v>
      </c>
      <c r="H12" s="15">
        <f t="shared" si="5"/>
        <v>949</v>
      </c>
      <c r="I12" s="15">
        <f t="shared" si="6"/>
        <v>0</v>
      </c>
      <c r="J12" s="17"/>
    </row>
    <row r="13" s="2" customFormat="1" ht="21.6" customHeight="1" spans="1:10">
      <c r="A13" s="14" t="s">
        <v>280</v>
      </c>
      <c r="B13" s="15">
        <f t="shared" si="3"/>
        <v>1000</v>
      </c>
      <c r="C13" s="16"/>
      <c r="D13" s="15"/>
      <c r="E13" s="15">
        <v>1000</v>
      </c>
      <c r="F13" s="15"/>
      <c r="G13" s="15">
        <f t="shared" si="4"/>
        <v>1000</v>
      </c>
      <c r="H13" s="15">
        <f t="shared" si="5"/>
        <v>1000</v>
      </c>
      <c r="I13" s="15">
        <f t="shared" si="6"/>
        <v>0</v>
      </c>
      <c r="J13" s="17"/>
    </row>
    <row r="14" s="2" customFormat="1" ht="21.6" customHeight="1" spans="1:10">
      <c r="A14" s="14" t="s">
        <v>281</v>
      </c>
      <c r="B14" s="15">
        <f t="shared" si="3"/>
        <v>752.66</v>
      </c>
      <c r="C14" s="16">
        <v>752.66</v>
      </c>
      <c r="D14" s="15"/>
      <c r="E14" s="15"/>
      <c r="F14" s="15"/>
      <c r="G14" s="15">
        <f t="shared" si="4"/>
        <v>752.66</v>
      </c>
      <c r="H14" s="15">
        <f t="shared" si="5"/>
        <v>752.66</v>
      </c>
      <c r="I14" s="15">
        <f t="shared" si="6"/>
        <v>0</v>
      </c>
      <c r="J14" s="17"/>
    </row>
    <row r="15" ht="21.6" customHeight="1" spans="1:10">
      <c r="A15" s="14" t="s">
        <v>282</v>
      </c>
      <c r="B15" s="15">
        <f t="shared" si="3"/>
        <v>3085.05</v>
      </c>
      <c r="C15" s="16">
        <v>2000</v>
      </c>
      <c r="D15" s="15"/>
      <c r="E15" s="15">
        <v>1085.05</v>
      </c>
      <c r="F15" s="15"/>
      <c r="G15" s="15">
        <f t="shared" si="4"/>
        <v>3085.05</v>
      </c>
      <c r="H15" s="15">
        <f t="shared" si="5"/>
        <v>3085.05</v>
      </c>
      <c r="I15" s="15">
        <f t="shared" si="6"/>
        <v>0</v>
      </c>
      <c r="J15" s="17"/>
    </row>
    <row r="16" ht="21.95" customHeight="1" spans="1:10">
      <c r="A16" s="13" t="s">
        <v>283</v>
      </c>
      <c r="B16" s="11">
        <f t="shared" ref="B16:I16" si="7">SUM(B17:B17)</f>
        <v>0</v>
      </c>
      <c r="C16" s="11">
        <f t="shared" si="7"/>
        <v>0</v>
      </c>
      <c r="D16" s="11">
        <f t="shared" si="7"/>
        <v>0</v>
      </c>
      <c r="E16" s="11">
        <f t="shared" si="7"/>
        <v>0</v>
      </c>
      <c r="F16" s="11">
        <f t="shared" si="7"/>
        <v>0</v>
      </c>
      <c r="G16" s="11">
        <f t="shared" si="7"/>
        <v>0</v>
      </c>
      <c r="H16" s="11">
        <f t="shared" si="7"/>
        <v>0</v>
      </c>
      <c r="I16" s="11">
        <f t="shared" si="7"/>
        <v>0</v>
      </c>
      <c r="J16" s="13"/>
    </row>
    <row r="17" ht="6.95" customHeight="1" spans="1:10">
      <c r="A17" s="14"/>
      <c r="B17" s="15"/>
      <c r="C17" s="15"/>
      <c r="D17" s="15"/>
      <c r="E17" s="15"/>
      <c r="F17" s="15"/>
      <c r="G17" s="15"/>
      <c r="H17" s="15"/>
      <c r="I17" s="15"/>
      <c r="J17" s="17"/>
    </row>
    <row r="18" ht="22.5" customHeight="1" spans="1:10">
      <c r="A18" s="13" t="s">
        <v>284</v>
      </c>
      <c r="B18" s="11">
        <f t="shared" ref="B18:I18" si="8">SUM(B19:B19)</f>
        <v>0</v>
      </c>
      <c r="C18" s="11">
        <f t="shared" si="8"/>
        <v>0</v>
      </c>
      <c r="D18" s="11">
        <f t="shared" si="8"/>
        <v>0</v>
      </c>
      <c r="E18" s="11">
        <f t="shared" si="8"/>
        <v>0</v>
      </c>
      <c r="F18" s="11">
        <f t="shared" si="8"/>
        <v>0</v>
      </c>
      <c r="G18" s="11">
        <f t="shared" si="8"/>
        <v>0</v>
      </c>
      <c r="H18" s="11">
        <f t="shared" si="8"/>
        <v>0</v>
      </c>
      <c r="I18" s="11">
        <f t="shared" si="8"/>
        <v>0</v>
      </c>
      <c r="J18" s="13"/>
    </row>
    <row r="19" ht="6.95" customHeight="1" spans="1:10">
      <c r="A19" s="17"/>
      <c r="B19" s="15"/>
      <c r="C19" s="15"/>
      <c r="D19" s="15"/>
      <c r="E19" s="15"/>
      <c r="F19" s="15"/>
      <c r="G19" s="15"/>
      <c r="H19" s="15"/>
      <c r="I19" s="15"/>
      <c r="J19" s="17"/>
    </row>
    <row r="20" ht="21.95" customHeight="1" spans="1:10">
      <c r="A20" s="13" t="s">
        <v>285</v>
      </c>
      <c r="B20" s="11">
        <f t="shared" ref="B20:I20" si="9">SUM(B21:B21)</f>
        <v>6960</v>
      </c>
      <c r="C20" s="11">
        <f t="shared" si="9"/>
        <v>0</v>
      </c>
      <c r="D20" s="11">
        <f t="shared" si="9"/>
        <v>0</v>
      </c>
      <c r="E20" s="11">
        <f t="shared" si="9"/>
        <v>6960</v>
      </c>
      <c r="F20" s="11">
        <f t="shared" si="9"/>
        <v>0</v>
      </c>
      <c r="G20" s="11">
        <f t="shared" si="9"/>
        <v>6960</v>
      </c>
      <c r="H20" s="11">
        <f t="shared" si="9"/>
        <v>6960</v>
      </c>
      <c r="I20" s="11">
        <f t="shared" si="9"/>
        <v>0</v>
      </c>
      <c r="J20" s="13"/>
    </row>
    <row r="21" ht="21.95" customHeight="1" spans="1:10">
      <c r="A21" s="18" t="s">
        <v>286</v>
      </c>
      <c r="B21" s="15">
        <f>SUM(C21:F21)</f>
        <v>6960</v>
      </c>
      <c r="C21" s="15"/>
      <c r="D21" s="15"/>
      <c r="E21" s="15">
        <v>6960</v>
      </c>
      <c r="F21" s="15"/>
      <c r="G21" s="15">
        <f>SUM(H21:I21)</f>
        <v>6960</v>
      </c>
      <c r="H21" s="15">
        <f>SUM(C21:E21)</f>
        <v>6960</v>
      </c>
      <c r="I21" s="15">
        <f>SUM(F21)</f>
        <v>0</v>
      </c>
      <c r="J21" s="17"/>
    </row>
    <row r="22" ht="21.95" customHeight="1" spans="1:10">
      <c r="A22" s="13" t="s">
        <v>287</v>
      </c>
      <c r="B22" s="11">
        <f t="shared" ref="B22:I22" si="10">SUM(B23:B45)</f>
        <v>4497.29</v>
      </c>
      <c r="C22" s="11">
        <f t="shared" si="10"/>
        <v>4348.29</v>
      </c>
      <c r="D22" s="11">
        <f t="shared" si="10"/>
        <v>0</v>
      </c>
      <c r="E22" s="11">
        <f t="shared" si="10"/>
        <v>149</v>
      </c>
      <c r="F22" s="11">
        <f t="shared" si="10"/>
        <v>0</v>
      </c>
      <c r="G22" s="11">
        <f t="shared" si="10"/>
        <v>4497.29</v>
      </c>
      <c r="H22" s="11">
        <f t="shared" si="10"/>
        <v>4497.29</v>
      </c>
      <c r="I22" s="11">
        <f t="shared" si="10"/>
        <v>0</v>
      </c>
      <c r="J22" s="13"/>
    </row>
    <row r="23" ht="21.95" customHeight="1" spans="1:10">
      <c r="A23" s="19" t="s">
        <v>288</v>
      </c>
      <c r="B23" s="15">
        <f t="shared" ref="B23:B30" si="11">SUM(C23:F23)</f>
        <v>330</v>
      </c>
      <c r="C23" s="16">
        <v>330</v>
      </c>
      <c r="D23" s="15"/>
      <c r="E23" s="15"/>
      <c r="F23" s="15"/>
      <c r="G23" s="15">
        <f t="shared" ref="G23:G30" si="12">SUM(H23:I23)</f>
        <v>330</v>
      </c>
      <c r="H23" s="15">
        <f t="shared" ref="H23:H30" si="13">SUM(C23:E23)</f>
        <v>330</v>
      </c>
      <c r="I23" s="15">
        <f t="shared" ref="I23:I30" si="14">SUM(F23)</f>
        <v>0</v>
      </c>
      <c r="J23" s="17"/>
    </row>
    <row r="24" ht="21.95" customHeight="1" spans="1:10">
      <c r="A24" s="19" t="s">
        <v>289</v>
      </c>
      <c r="B24" s="15">
        <f t="shared" si="11"/>
        <v>250.29</v>
      </c>
      <c r="C24" s="16">
        <v>250.29</v>
      </c>
      <c r="D24" s="15"/>
      <c r="E24" s="15"/>
      <c r="F24" s="15"/>
      <c r="G24" s="15">
        <f t="shared" si="12"/>
        <v>250.29</v>
      </c>
      <c r="H24" s="15">
        <f t="shared" si="13"/>
        <v>250.29</v>
      </c>
      <c r="I24" s="15">
        <f t="shared" si="14"/>
        <v>0</v>
      </c>
      <c r="J24" s="17"/>
    </row>
    <row r="25" ht="21.95" customHeight="1" spans="1:10">
      <c r="A25" s="20" t="s">
        <v>290</v>
      </c>
      <c r="B25" s="15">
        <f t="shared" si="11"/>
        <v>168</v>
      </c>
      <c r="C25" s="16">
        <v>168</v>
      </c>
      <c r="D25" s="15"/>
      <c r="E25" s="15"/>
      <c r="F25" s="15"/>
      <c r="G25" s="15">
        <f t="shared" si="12"/>
        <v>168</v>
      </c>
      <c r="H25" s="15">
        <f t="shared" si="13"/>
        <v>168</v>
      </c>
      <c r="I25" s="15">
        <f t="shared" si="14"/>
        <v>0</v>
      </c>
      <c r="J25" s="17"/>
    </row>
    <row r="26" ht="40.5" spans="1:10">
      <c r="A26" s="21" t="s">
        <v>291</v>
      </c>
      <c r="B26" s="15">
        <f t="shared" si="11"/>
        <v>150</v>
      </c>
      <c r="C26" s="16">
        <v>150</v>
      </c>
      <c r="D26" s="15"/>
      <c r="E26" s="15"/>
      <c r="F26" s="15"/>
      <c r="G26" s="15">
        <f t="shared" si="12"/>
        <v>150</v>
      </c>
      <c r="H26" s="15">
        <f t="shared" si="13"/>
        <v>150</v>
      </c>
      <c r="I26" s="15">
        <f t="shared" si="14"/>
        <v>0</v>
      </c>
      <c r="J26" s="17"/>
    </row>
    <row r="27" ht="21.95" customHeight="1" spans="1:10">
      <c r="A27" s="22" t="s">
        <v>292</v>
      </c>
      <c r="B27" s="15">
        <f t="shared" si="11"/>
        <v>100</v>
      </c>
      <c r="C27" s="16">
        <v>100</v>
      </c>
      <c r="D27" s="15"/>
      <c r="E27" s="15"/>
      <c r="F27" s="15"/>
      <c r="G27" s="15">
        <f t="shared" si="12"/>
        <v>100</v>
      </c>
      <c r="H27" s="15">
        <f t="shared" si="13"/>
        <v>100</v>
      </c>
      <c r="I27" s="15">
        <f t="shared" si="14"/>
        <v>0</v>
      </c>
      <c r="J27" s="17"/>
    </row>
    <row r="28" ht="21.95" customHeight="1" spans="1:10">
      <c r="A28" s="22" t="s">
        <v>293</v>
      </c>
      <c r="B28" s="15">
        <f t="shared" si="11"/>
        <v>200</v>
      </c>
      <c r="C28" s="16">
        <v>200</v>
      </c>
      <c r="D28" s="15"/>
      <c r="E28" s="15"/>
      <c r="F28" s="15"/>
      <c r="G28" s="15">
        <f t="shared" si="12"/>
        <v>200</v>
      </c>
      <c r="H28" s="15">
        <f t="shared" si="13"/>
        <v>200</v>
      </c>
      <c r="I28" s="15">
        <f t="shared" si="14"/>
        <v>0</v>
      </c>
      <c r="J28" s="17"/>
    </row>
    <row r="29" ht="21.95" customHeight="1" spans="1:10">
      <c r="A29" s="22" t="s">
        <v>294</v>
      </c>
      <c r="B29" s="15">
        <f t="shared" si="11"/>
        <v>200</v>
      </c>
      <c r="C29" s="16">
        <v>200</v>
      </c>
      <c r="D29" s="15"/>
      <c r="E29" s="15"/>
      <c r="F29" s="15"/>
      <c r="G29" s="15">
        <f t="shared" si="12"/>
        <v>200</v>
      </c>
      <c r="H29" s="15">
        <f t="shared" si="13"/>
        <v>200</v>
      </c>
      <c r="I29" s="15">
        <f t="shared" si="14"/>
        <v>0</v>
      </c>
      <c r="J29" s="17"/>
    </row>
    <row r="30" ht="21.95" customHeight="1" spans="1:10">
      <c r="A30" s="22" t="s">
        <v>295</v>
      </c>
      <c r="B30" s="15">
        <f t="shared" si="11"/>
        <v>400</v>
      </c>
      <c r="C30" s="16">
        <v>400</v>
      </c>
      <c r="D30" s="15"/>
      <c r="E30" s="15"/>
      <c r="F30" s="15"/>
      <c r="G30" s="15">
        <f t="shared" si="12"/>
        <v>400</v>
      </c>
      <c r="H30" s="15">
        <f t="shared" si="13"/>
        <v>400</v>
      </c>
      <c r="I30" s="15">
        <f t="shared" si="14"/>
        <v>0</v>
      </c>
      <c r="J30" s="17"/>
    </row>
    <row r="31" ht="21.95" customHeight="1" spans="1:10">
      <c r="A31" s="19" t="s">
        <v>296</v>
      </c>
      <c r="B31" s="15">
        <f t="shared" ref="B31:B45" si="15">SUM(C31:F31)</f>
        <v>300</v>
      </c>
      <c r="C31" s="16">
        <v>300</v>
      </c>
      <c r="D31" s="15"/>
      <c r="E31" s="15"/>
      <c r="F31" s="15"/>
      <c r="G31" s="15">
        <f t="shared" ref="G31:G45" si="16">SUM(H31:I31)</f>
        <v>300</v>
      </c>
      <c r="H31" s="15">
        <f t="shared" ref="H31:H45" si="17">SUM(C31:E31)</f>
        <v>300</v>
      </c>
      <c r="I31" s="15">
        <f t="shared" ref="I31:I45" si="18">SUM(F31)</f>
        <v>0</v>
      </c>
      <c r="J31" s="17"/>
    </row>
    <row r="32" ht="21.95" customHeight="1" spans="1:10">
      <c r="A32" s="19" t="s">
        <v>297</v>
      </c>
      <c r="B32" s="15">
        <f t="shared" si="15"/>
        <v>400</v>
      </c>
      <c r="C32" s="16">
        <v>400</v>
      </c>
      <c r="D32" s="15"/>
      <c r="E32" s="15"/>
      <c r="F32" s="15"/>
      <c r="G32" s="15">
        <f t="shared" si="16"/>
        <v>400</v>
      </c>
      <c r="H32" s="15">
        <f t="shared" si="17"/>
        <v>400</v>
      </c>
      <c r="I32" s="15">
        <f t="shared" si="18"/>
        <v>0</v>
      </c>
      <c r="J32" s="17"/>
    </row>
    <row r="33" ht="21.95" customHeight="1" spans="1:10">
      <c r="A33" s="20" t="s">
        <v>298</v>
      </c>
      <c r="B33" s="15">
        <f t="shared" si="15"/>
        <v>250</v>
      </c>
      <c r="C33" s="16">
        <v>250</v>
      </c>
      <c r="D33" s="15"/>
      <c r="E33" s="15"/>
      <c r="F33" s="15"/>
      <c r="G33" s="15">
        <f t="shared" si="16"/>
        <v>250</v>
      </c>
      <c r="H33" s="15">
        <f t="shared" si="17"/>
        <v>250</v>
      </c>
      <c r="I33" s="15">
        <f t="shared" si="18"/>
        <v>0</v>
      </c>
      <c r="J33" s="17"/>
    </row>
    <row r="34" ht="21.95" customHeight="1" spans="1:10">
      <c r="A34" s="21" t="s">
        <v>299</v>
      </c>
      <c r="B34" s="15">
        <f t="shared" si="15"/>
        <v>400</v>
      </c>
      <c r="C34" s="16">
        <v>400</v>
      </c>
      <c r="D34" s="15"/>
      <c r="E34" s="15"/>
      <c r="F34" s="15"/>
      <c r="G34" s="15">
        <f t="shared" si="16"/>
        <v>400</v>
      </c>
      <c r="H34" s="15">
        <f t="shared" si="17"/>
        <v>400</v>
      </c>
      <c r="I34" s="15">
        <f t="shared" si="18"/>
        <v>0</v>
      </c>
      <c r="J34" s="17"/>
    </row>
    <row r="35" ht="21.95" customHeight="1" spans="1:10">
      <c r="A35" s="22" t="s">
        <v>300</v>
      </c>
      <c r="B35" s="15">
        <f t="shared" si="15"/>
        <v>300</v>
      </c>
      <c r="C35" s="16">
        <v>300</v>
      </c>
      <c r="D35" s="15"/>
      <c r="E35" s="15"/>
      <c r="F35" s="15"/>
      <c r="G35" s="15">
        <f t="shared" si="16"/>
        <v>300</v>
      </c>
      <c r="H35" s="15">
        <f t="shared" si="17"/>
        <v>300</v>
      </c>
      <c r="I35" s="15">
        <f t="shared" si="18"/>
        <v>0</v>
      </c>
      <c r="J35" s="17"/>
    </row>
    <row r="36" ht="21.95" customHeight="1" spans="1:10">
      <c r="A36" s="22" t="s">
        <v>301</v>
      </c>
      <c r="B36" s="15">
        <f t="shared" si="15"/>
        <v>149</v>
      </c>
      <c r="C36" s="16"/>
      <c r="D36" s="15"/>
      <c r="E36" s="15">
        <v>149</v>
      </c>
      <c r="F36" s="15"/>
      <c r="G36" s="15">
        <f t="shared" si="16"/>
        <v>149</v>
      </c>
      <c r="H36" s="15">
        <f t="shared" si="17"/>
        <v>149</v>
      </c>
      <c r="I36" s="15">
        <f t="shared" si="18"/>
        <v>0</v>
      </c>
      <c r="J36" s="17"/>
    </row>
    <row r="37" ht="21.95" customHeight="1" spans="1:10">
      <c r="A37" s="20" t="s">
        <v>302</v>
      </c>
      <c r="B37" s="15">
        <f t="shared" si="15"/>
        <v>230</v>
      </c>
      <c r="C37" s="15">
        <f>197.71+32.29</f>
        <v>230</v>
      </c>
      <c r="D37" s="15"/>
      <c r="E37" s="15"/>
      <c r="F37" s="15"/>
      <c r="G37" s="15">
        <f t="shared" ref="G37:G43" si="19">SUM(H37:I37)</f>
        <v>230</v>
      </c>
      <c r="H37" s="15">
        <f t="shared" ref="H37:H43" si="20">SUM(C37:E37)</f>
        <v>230</v>
      </c>
      <c r="I37" s="15">
        <f t="shared" ref="I37:I43" si="21">SUM(F37)</f>
        <v>0</v>
      </c>
      <c r="J37" s="17"/>
    </row>
    <row r="38" ht="21.95" customHeight="1" spans="1:10">
      <c r="A38" s="22" t="s">
        <v>303</v>
      </c>
      <c r="B38" s="15">
        <f t="shared" si="15"/>
        <v>100</v>
      </c>
      <c r="C38" s="16">
        <v>100</v>
      </c>
      <c r="D38" s="15"/>
      <c r="E38" s="15"/>
      <c r="F38" s="15"/>
      <c r="G38" s="15">
        <f t="shared" si="19"/>
        <v>100</v>
      </c>
      <c r="H38" s="15">
        <f t="shared" si="20"/>
        <v>100</v>
      </c>
      <c r="I38" s="15">
        <f t="shared" si="21"/>
        <v>0</v>
      </c>
      <c r="J38" s="17"/>
    </row>
    <row r="39" ht="21.95" customHeight="1" spans="1:10">
      <c r="A39" s="21" t="s">
        <v>304</v>
      </c>
      <c r="B39" s="15">
        <f t="shared" si="15"/>
        <v>70</v>
      </c>
      <c r="C39" s="16">
        <v>70</v>
      </c>
      <c r="D39" s="15"/>
      <c r="E39" s="15"/>
      <c r="F39" s="15"/>
      <c r="G39" s="15">
        <f t="shared" si="19"/>
        <v>70</v>
      </c>
      <c r="H39" s="15">
        <f t="shared" si="20"/>
        <v>70</v>
      </c>
      <c r="I39" s="15">
        <f t="shared" si="21"/>
        <v>0</v>
      </c>
      <c r="J39" s="17"/>
    </row>
    <row r="40" ht="21.95" customHeight="1" spans="1:10">
      <c r="A40" s="22" t="s">
        <v>305</v>
      </c>
      <c r="B40" s="15">
        <f t="shared" si="15"/>
        <v>50</v>
      </c>
      <c r="C40" s="16">
        <v>50</v>
      </c>
      <c r="D40" s="15"/>
      <c r="E40" s="15"/>
      <c r="F40" s="15"/>
      <c r="G40" s="15">
        <f t="shared" si="19"/>
        <v>50</v>
      </c>
      <c r="H40" s="15">
        <f t="shared" si="20"/>
        <v>50</v>
      </c>
      <c r="I40" s="15">
        <f t="shared" si="21"/>
        <v>0</v>
      </c>
      <c r="J40" s="17"/>
    </row>
    <row r="41" ht="21.95" customHeight="1" spans="1:10">
      <c r="A41" s="22" t="s">
        <v>306</v>
      </c>
      <c r="B41" s="15">
        <f t="shared" si="15"/>
        <v>100</v>
      </c>
      <c r="C41" s="16">
        <v>100</v>
      </c>
      <c r="D41" s="15"/>
      <c r="E41" s="15"/>
      <c r="F41" s="15"/>
      <c r="G41" s="15">
        <f t="shared" si="19"/>
        <v>100</v>
      </c>
      <c r="H41" s="15">
        <f t="shared" si="20"/>
        <v>100</v>
      </c>
      <c r="I41" s="15">
        <f t="shared" si="21"/>
        <v>0</v>
      </c>
      <c r="J41" s="17"/>
    </row>
    <row r="42" ht="21.95" customHeight="1" spans="1:10">
      <c r="A42" s="21" t="s">
        <v>307</v>
      </c>
      <c r="B42" s="15">
        <f t="shared" si="15"/>
        <v>170</v>
      </c>
      <c r="C42" s="16">
        <v>170</v>
      </c>
      <c r="D42" s="15"/>
      <c r="E42" s="15"/>
      <c r="F42" s="15"/>
      <c r="G42" s="15">
        <f t="shared" si="19"/>
        <v>170</v>
      </c>
      <c r="H42" s="15">
        <f t="shared" si="20"/>
        <v>170</v>
      </c>
      <c r="I42" s="15">
        <f t="shared" si="21"/>
        <v>0</v>
      </c>
      <c r="J42" s="17"/>
    </row>
    <row r="43" ht="21.95" customHeight="1" spans="1:10">
      <c r="A43" s="22" t="s">
        <v>308</v>
      </c>
      <c r="B43" s="15">
        <f t="shared" si="15"/>
        <v>50</v>
      </c>
      <c r="C43" s="16">
        <v>50</v>
      </c>
      <c r="D43" s="15"/>
      <c r="E43" s="15"/>
      <c r="F43" s="15"/>
      <c r="G43" s="15">
        <f t="shared" si="19"/>
        <v>50</v>
      </c>
      <c r="H43" s="15">
        <f t="shared" si="20"/>
        <v>50</v>
      </c>
      <c r="I43" s="15">
        <f t="shared" si="21"/>
        <v>0</v>
      </c>
      <c r="J43" s="17"/>
    </row>
    <row r="44" ht="21.95" customHeight="1" spans="1:10">
      <c r="A44" s="22" t="s">
        <v>309</v>
      </c>
      <c r="B44" s="15">
        <f t="shared" si="15"/>
        <v>60</v>
      </c>
      <c r="C44" s="16">
        <v>60</v>
      </c>
      <c r="D44" s="15"/>
      <c r="E44" s="15"/>
      <c r="F44" s="15"/>
      <c r="G44" s="15">
        <f t="shared" si="16"/>
        <v>60</v>
      </c>
      <c r="H44" s="15">
        <f t="shared" si="17"/>
        <v>60</v>
      </c>
      <c r="I44" s="15">
        <f t="shared" si="18"/>
        <v>0</v>
      </c>
      <c r="J44" s="17"/>
    </row>
    <row r="45" ht="21.95" customHeight="1" spans="1:10">
      <c r="A45" s="21" t="s">
        <v>310</v>
      </c>
      <c r="B45" s="15">
        <f t="shared" si="15"/>
        <v>70</v>
      </c>
      <c r="C45" s="16">
        <v>70</v>
      </c>
      <c r="D45" s="15"/>
      <c r="E45" s="15"/>
      <c r="F45" s="15"/>
      <c r="G45" s="15">
        <f t="shared" si="16"/>
        <v>70</v>
      </c>
      <c r="H45" s="15">
        <f t="shared" si="17"/>
        <v>70</v>
      </c>
      <c r="I45" s="15">
        <f t="shared" si="18"/>
        <v>0</v>
      </c>
      <c r="J45" s="17"/>
    </row>
    <row r="46" ht="21.95" customHeight="1" spans="1:10">
      <c r="A46" s="13" t="s">
        <v>311</v>
      </c>
      <c r="B46" s="11">
        <f t="shared" ref="B46:I46" si="22">SUM(B47:B47)</f>
        <v>0</v>
      </c>
      <c r="C46" s="11">
        <f t="shared" si="22"/>
        <v>0</v>
      </c>
      <c r="D46" s="11">
        <f t="shared" si="22"/>
        <v>0</v>
      </c>
      <c r="E46" s="11">
        <f t="shared" si="22"/>
        <v>0</v>
      </c>
      <c r="F46" s="11">
        <f t="shared" si="22"/>
        <v>0</v>
      </c>
      <c r="G46" s="11">
        <f t="shared" si="22"/>
        <v>0</v>
      </c>
      <c r="H46" s="11">
        <f t="shared" si="22"/>
        <v>0</v>
      </c>
      <c r="I46" s="11">
        <f t="shared" si="22"/>
        <v>0</v>
      </c>
      <c r="J46" s="13"/>
    </row>
    <row r="47" ht="6.95" customHeight="1" spans="1:10">
      <c r="A47" s="23"/>
      <c r="B47" s="15"/>
      <c r="C47" s="16"/>
      <c r="D47" s="15"/>
      <c r="E47" s="15"/>
      <c r="F47" s="15"/>
      <c r="G47" s="15"/>
      <c r="H47" s="15"/>
      <c r="I47" s="15"/>
      <c r="J47" s="17"/>
    </row>
    <row r="48" ht="21.95" customHeight="1" spans="1:10">
      <c r="A48" s="13" t="s">
        <v>312</v>
      </c>
      <c r="B48" s="11">
        <f t="shared" ref="B48:I48" si="23">SUM(B49:B49)</f>
        <v>0</v>
      </c>
      <c r="C48" s="11">
        <f t="shared" si="23"/>
        <v>0</v>
      </c>
      <c r="D48" s="11">
        <f t="shared" si="23"/>
        <v>0</v>
      </c>
      <c r="E48" s="11">
        <f t="shared" si="23"/>
        <v>0</v>
      </c>
      <c r="F48" s="11">
        <f t="shared" si="23"/>
        <v>0</v>
      </c>
      <c r="G48" s="11">
        <f t="shared" si="23"/>
        <v>0</v>
      </c>
      <c r="H48" s="11">
        <f t="shared" si="23"/>
        <v>0</v>
      </c>
      <c r="I48" s="11">
        <f t="shared" si="23"/>
        <v>0</v>
      </c>
      <c r="J48" s="13"/>
    </row>
    <row r="49" ht="6.95" customHeight="1" spans="1:10">
      <c r="A49" s="24"/>
      <c r="B49" s="15"/>
      <c r="C49" s="15"/>
      <c r="D49" s="15"/>
      <c r="E49" s="15"/>
      <c r="F49" s="15"/>
      <c r="G49" s="15"/>
      <c r="H49" s="15"/>
      <c r="I49" s="15"/>
      <c r="J49" s="17"/>
    </row>
    <row r="50" ht="21.95" customHeight="1" spans="1:10">
      <c r="A50" s="13" t="s">
        <v>313</v>
      </c>
      <c r="B50" s="11">
        <f>SUM(C50:F50)</f>
        <v>0</v>
      </c>
      <c r="C50" s="11">
        <f t="shared" ref="C50:I50" si="24">SUM(C51)</f>
        <v>0</v>
      </c>
      <c r="D50" s="11">
        <f t="shared" si="24"/>
        <v>0</v>
      </c>
      <c r="E50" s="11">
        <f t="shared" si="24"/>
        <v>0</v>
      </c>
      <c r="F50" s="11">
        <f t="shared" si="24"/>
        <v>0</v>
      </c>
      <c r="G50" s="11">
        <f t="shared" si="24"/>
        <v>0</v>
      </c>
      <c r="H50" s="11">
        <f t="shared" si="24"/>
        <v>0</v>
      </c>
      <c r="I50" s="11">
        <f t="shared" si="24"/>
        <v>0</v>
      </c>
      <c r="J50" s="13"/>
    </row>
    <row r="51" ht="9.95" customHeight="1" spans="1:10">
      <c r="A51" s="17"/>
      <c r="B51" s="15"/>
      <c r="C51" s="15"/>
      <c r="D51" s="15"/>
      <c r="E51" s="15"/>
      <c r="F51" s="15"/>
      <c r="G51" s="15"/>
      <c r="H51" s="15"/>
      <c r="I51" s="15"/>
      <c r="J51" s="17"/>
    </row>
    <row r="52" ht="21.95" customHeight="1" spans="1:10">
      <c r="A52" s="12" t="s">
        <v>314</v>
      </c>
      <c r="B52" s="11">
        <f t="shared" ref="B52:I52" si="25">SUM(B53:B59)</f>
        <v>152000</v>
      </c>
      <c r="C52" s="11">
        <f t="shared" si="25"/>
        <v>0</v>
      </c>
      <c r="D52" s="11">
        <f t="shared" si="25"/>
        <v>101359.45</v>
      </c>
      <c r="E52" s="11">
        <f t="shared" si="25"/>
        <v>50640.55</v>
      </c>
      <c r="F52" s="11">
        <f t="shared" si="25"/>
        <v>0</v>
      </c>
      <c r="G52" s="11">
        <f t="shared" si="25"/>
        <v>152000</v>
      </c>
      <c r="H52" s="11">
        <f t="shared" si="25"/>
        <v>152000</v>
      </c>
      <c r="I52" s="11">
        <f t="shared" si="25"/>
        <v>0</v>
      </c>
      <c r="J52" s="17"/>
    </row>
    <row r="53" ht="21.95" customHeight="1" spans="1:10">
      <c r="A53" s="17" t="s">
        <v>315</v>
      </c>
      <c r="B53" s="15">
        <f t="shared" ref="B53:B59" si="26">SUM(C53:F53)</f>
        <v>40000</v>
      </c>
      <c r="C53" s="25"/>
      <c r="D53" s="25">
        <v>40000</v>
      </c>
      <c r="E53" s="25"/>
      <c r="F53" s="25"/>
      <c r="G53" s="15">
        <f t="shared" ref="G53:G59" si="27">SUM(H53:I53)</f>
        <v>40000</v>
      </c>
      <c r="H53" s="15">
        <f t="shared" ref="H53:H59" si="28">SUM(C53:E53)</f>
        <v>40000</v>
      </c>
      <c r="I53" s="15">
        <f t="shared" ref="I53:I59" si="29">SUM(F53)</f>
        <v>0</v>
      </c>
      <c r="J53" s="17"/>
    </row>
    <row r="54" ht="21.95" customHeight="1" spans="1:10">
      <c r="A54" s="17" t="s">
        <v>316</v>
      </c>
      <c r="B54" s="15">
        <f t="shared" si="26"/>
        <v>12000</v>
      </c>
      <c r="C54" s="26"/>
      <c r="D54" s="25">
        <v>12000</v>
      </c>
      <c r="E54" s="25"/>
      <c r="F54" s="26"/>
      <c r="G54" s="15">
        <f t="shared" si="27"/>
        <v>12000</v>
      </c>
      <c r="H54" s="15">
        <f t="shared" si="28"/>
        <v>12000</v>
      </c>
      <c r="I54" s="15">
        <f t="shared" si="29"/>
        <v>0</v>
      </c>
      <c r="J54" s="26"/>
    </row>
    <row r="55" ht="21.95" customHeight="1" spans="1:10">
      <c r="A55" s="17" t="s">
        <v>317</v>
      </c>
      <c r="B55" s="15">
        <f t="shared" si="26"/>
        <v>1500</v>
      </c>
      <c r="C55" s="25"/>
      <c r="D55" s="25">
        <v>1459.45</v>
      </c>
      <c r="E55" s="25">
        <v>40.55</v>
      </c>
      <c r="F55" s="25"/>
      <c r="G55" s="15">
        <f t="shared" si="27"/>
        <v>1500</v>
      </c>
      <c r="H55" s="15">
        <f t="shared" si="28"/>
        <v>1500</v>
      </c>
      <c r="I55" s="15">
        <f t="shared" si="29"/>
        <v>0</v>
      </c>
      <c r="J55" s="17"/>
    </row>
    <row r="56" ht="21.95" customHeight="1" spans="1:10">
      <c r="A56" s="17" t="s">
        <v>318</v>
      </c>
      <c r="B56" s="15">
        <f t="shared" si="26"/>
        <v>7000</v>
      </c>
      <c r="C56" s="25"/>
      <c r="D56" s="25">
        <v>7000</v>
      </c>
      <c r="E56" s="25"/>
      <c r="F56" s="25"/>
      <c r="G56" s="15">
        <f t="shared" si="27"/>
        <v>7000</v>
      </c>
      <c r="H56" s="15">
        <f t="shared" si="28"/>
        <v>7000</v>
      </c>
      <c r="I56" s="15">
        <f t="shared" si="29"/>
        <v>0</v>
      </c>
      <c r="J56" s="17"/>
    </row>
    <row r="57" ht="21.95" customHeight="1" spans="1:10">
      <c r="A57" s="17" t="s">
        <v>319</v>
      </c>
      <c r="B57" s="15">
        <f t="shared" si="26"/>
        <v>9200</v>
      </c>
      <c r="C57" s="25"/>
      <c r="D57" s="25">
        <v>9200</v>
      </c>
      <c r="E57" s="25"/>
      <c r="F57" s="25"/>
      <c r="G57" s="15">
        <f t="shared" si="27"/>
        <v>9200</v>
      </c>
      <c r="H57" s="15">
        <f t="shared" si="28"/>
        <v>9200</v>
      </c>
      <c r="I57" s="15">
        <f t="shared" si="29"/>
        <v>0</v>
      </c>
      <c r="J57" s="17"/>
    </row>
    <row r="58" ht="21.95" customHeight="1" spans="1:10">
      <c r="A58" s="17" t="s">
        <v>320</v>
      </c>
      <c r="B58" s="15">
        <f t="shared" si="26"/>
        <v>34800</v>
      </c>
      <c r="C58" s="25"/>
      <c r="D58" s="25">
        <v>24700</v>
      </c>
      <c r="E58" s="25">
        <f>34800-24700</f>
        <v>10100</v>
      </c>
      <c r="F58" s="25"/>
      <c r="G58" s="15">
        <f t="shared" si="27"/>
        <v>34800</v>
      </c>
      <c r="H58" s="15">
        <f t="shared" si="28"/>
        <v>34800</v>
      </c>
      <c r="I58" s="15">
        <f t="shared" si="29"/>
        <v>0</v>
      </c>
      <c r="J58" s="17"/>
    </row>
    <row r="59" ht="21.95" customHeight="1" spans="1:10">
      <c r="A59" s="17" t="s">
        <v>321</v>
      </c>
      <c r="B59" s="15">
        <f t="shared" si="26"/>
        <v>47500</v>
      </c>
      <c r="C59" s="25"/>
      <c r="D59" s="25">
        <v>7000</v>
      </c>
      <c r="E59" s="25">
        <f>47500-7000</f>
        <v>40500</v>
      </c>
      <c r="F59" s="25"/>
      <c r="G59" s="15">
        <f t="shared" si="27"/>
        <v>47500</v>
      </c>
      <c r="H59" s="15">
        <f t="shared" si="28"/>
        <v>47500</v>
      </c>
      <c r="I59" s="15">
        <f t="shared" si="29"/>
        <v>0</v>
      </c>
      <c r="J59" s="17"/>
    </row>
  </sheetData>
  <mergeCells count="6">
    <mergeCell ref="A2:J2"/>
    <mergeCell ref="B4:I4"/>
    <mergeCell ref="B5:F5"/>
    <mergeCell ref="G5:I5"/>
    <mergeCell ref="A5:A6"/>
    <mergeCell ref="J5:J6"/>
  </mergeCells>
  <printOptions horizontalCentered="1"/>
  <pageMargins left="0.590277777777778" right="0.511805555555556" top="0.511805555555556" bottom="0.590277777777778" header="0.511805555555556" footer="0.196527777777778"/>
  <pageSetup paperSize="9" scale="73" fitToHeight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附件一2023年调整</vt:lpstr>
      <vt:lpstr>附件二2023年财力性调整</vt:lpstr>
      <vt:lpstr>附件三2023年区级一般公共预算支出调整</vt:lpstr>
      <vt:lpstr>附件四2023新增上解支出调整 </vt:lpstr>
      <vt:lpstr>附件五2023年区级政府性基金支出调整</vt:lpstr>
      <vt:lpstr>附件六2023年地方政府新增债券资金安排使用方案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2023-10-20T03:54:00Z</cp:lastPrinted>
  <dcterms:modified xsi:type="dcterms:W3CDTF">2023-12-04T08:20:54Z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267E1F79D1704E93A8B8383014AE391E</vt:lpwstr>
  </property>
  <property fmtid="{D5CDD505-2E9C-101B-9397-08002B2CF9AE}" pid="3" name="KSOProductBuildVer">
    <vt:lpwstr>2052-11.1.0.11372</vt:lpwstr>
  </property>
</Properties>
</file>